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8.xml" ContentType="application/vnd.openxmlformats-officedocument.drawing+xml"/>
  <Override PartName="/xl/worksheets/sheet290.xml" ContentType="application/vnd.openxmlformats-officedocument.spreadsheetml.worksheet+xml"/>
  <Override PartName="/xl/drawings/drawing289.xml" ContentType="application/vnd.openxmlformats-officedocument.drawing+xml"/>
  <Override PartName="/xl/worksheets/sheet291.xml" ContentType="application/vnd.openxmlformats-officedocument.spreadsheetml.worksheet+xml"/>
  <Override PartName="/xl/drawings/drawing290.xml" ContentType="application/vnd.openxmlformats-officedocument.drawing+xml"/>
  <Override PartName="/xl/worksheets/sheet292.xml" ContentType="application/vnd.openxmlformats-officedocument.spreadsheetml.worksheet+xml"/>
  <Override PartName="/xl/drawings/drawing291.xml" ContentType="application/vnd.openxmlformats-officedocument.drawing+xml"/>
  <Override PartName="/xl/worksheets/sheet293.xml" ContentType="application/vnd.openxmlformats-officedocument.spreadsheetml.worksheet+xml"/>
  <Override PartName="/xl/drawings/drawing292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drawings/drawing293.xml" ContentType="application/vnd.openxmlformats-officedocument.drawing+xml"/>
  <Override PartName="/xl/worksheets/sheet29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08" yWindow="-108" windowWidth="23256" windowHeight="13176" tabRatio="656" firstSheet="292" activeTab="295" autoFilterDateGrouping="1"/>
  </bookViews>
  <sheets>
    <sheet name="Dec 25 - Jan 1 17" sheetId="1" state="visible" r:id="rId1"/>
    <sheet name="Dec 25 - Dec 31 17" sheetId="2" state="visible" r:id="rId2"/>
    <sheet name="Jan 1 - Jan 7" sheetId="3" state="visible" r:id="rId3"/>
    <sheet name="Jan 8 - Jan 14" sheetId="4" state="visible" r:id="rId4"/>
    <sheet name="Jan 15 - Jan 21" sheetId="5" state="visible" r:id="rId5"/>
    <sheet name="Jan 22 - Jan 28" sheetId="6" state="visible" r:id="rId6"/>
    <sheet name="Jan 29 - Feb 4" sheetId="7" state="visible" r:id="rId7"/>
    <sheet name="Feb 5 - Feb 11" sheetId="8" state="visible" r:id="rId8"/>
    <sheet name="Feb 12 - Feb 18" sheetId="9" state="visible" r:id="rId9"/>
    <sheet name="Feb 19 - Feb 25" sheetId="10" state="visible" r:id="rId10"/>
    <sheet name="Feb 26 - Mar 4" sheetId="11" state="visible" r:id="rId11"/>
    <sheet name="Mar 5 - Mar 11" sheetId="12" state="visible" r:id="rId12"/>
    <sheet name="Mar 12 - Mar 18" sheetId="13" state="visible" r:id="rId13"/>
    <sheet name="Mar 19 - Mar 25" sheetId="14" state="visible" r:id="rId14"/>
    <sheet name="Mar 26 - Apr 1" sheetId="15" state="visible" r:id="rId15"/>
    <sheet name="Apr 2 - Apr 8" sheetId="16" state="visible" r:id="rId16"/>
    <sheet name="Apr 9 - Apr 15" sheetId="17" state="visible" r:id="rId17"/>
    <sheet name="Apr 16 - Apr 22" sheetId="18" state="visible" r:id="rId18"/>
    <sheet name="Apr 23 - Apr 29" sheetId="19" state="visible" r:id="rId19"/>
    <sheet name="Apr 30 - May 6" sheetId="20" state="visible" r:id="rId20"/>
    <sheet name="May 7 - May 13" sheetId="21" state="visible" r:id="rId21"/>
    <sheet name="May 14 - May 20" sheetId="22" state="visible" r:id="rId22"/>
    <sheet name="May 21 - May 27" sheetId="23" state="visible" r:id="rId23"/>
    <sheet name="May 28 - Jun 3" sheetId="24" state="visible" r:id="rId24"/>
    <sheet name="Jun 4 - Jun 10" sheetId="25" state="visible" r:id="rId25"/>
    <sheet name="Jun 11 - Jun 17" sheetId="26" state="visible" r:id="rId26"/>
    <sheet name="Jun 18 - Jun 24" sheetId="27" state="visible" r:id="rId27"/>
    <sheet name="Jun 25 - Jul 1" sheetId="28" state="visible" r:id="rId28"/>
    <sheet name="Jul 2 - Jul 8" sheetId="29" state="visible" r:id="rId29"/>
    <sheet name="Jul 9 - Jul 15" sheetId="30" state="visible" r:id="rId30"/>
    <sheet name="Jul 16 - Jul 22" sheetId="31" state="visible" r:id="rId31"/>
    <sheet name="Jul 23 - Jul 29" sheetId="32" state="visible" r:id="rId32"/>
    <sheet name="Jul 30 - Aug 5" sheetId="33" state="visible" r:id="rId33"/>
    <sheet name="Aug 6 - Aug 12" sheetId="34" state="visible" r:id="rId34"/>
    <sheet name="Aug 13 - Aug 19" sheetId="35" state="visible" r:id="rId35"/>
    <sheet name="Aug 20 - Aug 26" sheetId="36" state="visible" r:id="rId36"/>
    <sheet name="Aug 27 - Sept 2" sheetId="37" state="visible" r:id="rId37"/>
    <sheet name="Sept 3 - Sept 9" sheetId="38" state="visible" r:id="rId38"/>
    <sheet name="Sept 10 - Sept 16" sheetId="39" state="visible" r:id="rId39"/>
    <sheet name="Sept 17 - Sept 23" sheetId="40" state="visible" r:id="rId40"/>
    <sheet name="Sept 24 - Sept 30" sheetId="41" state="visible" r:id="rId41"/>
    <sheet name="Oct 1 - Oct 7" sheetId="42" state="visible" r:id="rId42"/>
    <sheet name="Oct 8 - Oct 14" sheetId="43" state="visible" r:id="rId43"/>
    <sheet name="Oct 15 - Oct 21" sheetId="44" state="visible" r:id="rId44"/>
    <sheet name="Oct 22 - Oct 28" sheetId="45" state="visible" r:id="rId45"/>
    <sheet name="Oct 29 - Nov 4" sheetId="46" state="visible" r:id="rId46"/>
    <sheet name="Nov 5 - Nov 11" sheetId="47" state="visible" r:id="rId47"/>
    <sheet name="Nov 12 - Nov 18" sheetId="48" state="visible" r:id="rId48"/>
    <sheet name="Nov 19 - Nov 25" sheetId="49" state="visible" r:id="rId49"/>
    <sheet name="Nov 26 - Dec 2" sheetId="50" state="visible" r:id="rId50"/>
    <sheet name="Dec 3 - Dec 9" sheetId="51" state="visible" r:id="rId51"/>
    <sheet name="Dec 10 - Dec 16" sheetId="52" state="visible" r:id="rId52"/>
    <sheet name="Dec 17 - Dec 23" sheetId="53" state="visible" r:id="rId53"/>
    <sheet name="Dec 24 - Dec 30" sheetId="54" state="visible" r:id="rId54"/>
    <sheet name="Dec 31 - Jan 6" sheetId="55" state="visible" r:id="rId55"/>
    <sheet name="Jan 7 - Jan 13" sheetId="56" state="visible" r:id="rId56"/>
    <sheet name="Jan 14 - Jan 20" sheetId="57" state="visible" r:id="rId57"/>
    <sheet name="Jan 21 - Jan 27" sheetId="58" state="visible" r:id="rId58"/>
    <sheet name="28 Jan - 3 Feb" sheetId="59" state="visible" r:id="rId59"/>
    <sheet name="4 Feb - 10 Feb" sheetId="60" state="visible" r:id="rId60"/>
    <sheet name="11 Feb - 17 Feb" sheetId="61" state="visible" r:id="rId61"/>
    <sheet name="18 Feb - 24 Feb" sheetId="62" state="visible" r:id="rId62"/>
    <sheet name="25 Feb - 3 Mar" sheetId="63" state="visible" r:id="rId63"/>
    <sheet name="4 Mar- 10 Mar" sheetId="64" state="visible" r:id="rId64"/>
    <sheet name="11 Mar- 17 Mar" sheetId="65" state="visible" r:id="rId65"/>
    <sheet name="18 Mar- 24 Mar" sheetId="66" state="visible" r:id="rId66"/>
    <sheet name="25 Mar- 31 Mar" sheetId="67" state="visible" r:id="rId67"/>
    <sheet name="1 Apr- 7 Apr" sheetId="68" state="visible" r:id="rId68"/>
    <sheet name="8 Apr- 14 Apr" sheetId="69" state="visible" r:id="rId69"/>
    <sheet name="15 Apr- 21 Apr" sheetId="70" state="visible" r:id="rId70"/>
    <sheet name="22 Apr- 28 Apr" sheetId="71" state="visible" r:id="rId71"/>
    <sheet name="29 Apr- 5 May" sheetId="72" state="visible" r:id="rId72"/>
    <sheet name="6 May - 12 May" sheetId="73" state="visible" r:id="rId73"/>
    <sheet name="13 May - 19 May" sheetId="74" state="visible" r:id="rId74"/>
    <sheet name="20 May - 26 May" sheetId="75" state="visible" r:id="rId75"/>
    <sheet name="27 May - 2 June" sheetId="76" state="visible" r:id="rId76"/>
    <sheet name="3 June - 9 June" sheetId="77" state="visible" r:id="rId77"/>
    <sheet name="10 June - 16 June" sheetId="78" state="visible" r:id="rId78"/>
    <sheet name="17 June - 23 June" sheetId="79" state="visible" r:id="rId79"/>
    <sheet name="24 June - 30 June" sheetId="80" state="visible" r:id="rId80"/>
    <sheet name="1 July - 7 July" sheetId="81" state="visible" r:id="rId81"/>
    <sheet name="8 July - 14 July" sheetId="82" state="visible" r:id="rId82"/>
    <sheet name="15 July - 21 July" sheetId="83" state="visible" r:id="rId83"/>
    <sheet name="22 July - 28 July" sheetId="84" state="visible" r:id="rId84"/>
    <sheet name="29 July - 4 August" sheetId="85" state="visible" r:id="rId85"/>
    <sheet name="5 August - 11 August" sheetId="86" state="visible" r:id="rId86"/>
    <sheet name="12 August - 18 August" sheetId="87" state="visible" r:id="rId87"/>
    <sheet name="19 August - 25 August" sheetId="88" state="visible" r:id="rId88"/>
    <sheet name="26 August - 1 September" sheetId="89" state="visible" r:id="rId89"/>
    <sheet name="2 Sept - 8 Sept" sheetId="90" state="visible" r:id="rId90"/>
    <sheet name="9 Sept - 15 Sept" sheetId="91" state="visible" r:id="rId91"/>
    <sheet name="16 Sept - 22 Sept" sheetId="92" state="visible" r:id="rId92"/>
    <sheet name="23 Sept - 29 Sept" sheetId="93" state="visible" r:id="rId93"/>
    <sheet name="30 Sept - 6 Oct" sheetId="94" state="visible" r:id="rId94"/>
    <sheet name="7 Oct - 13 Oct" sheetId="95" state="visible" r:id="rId95"/>
    <sheet name="14 Oct - 20 Oct" sheetId="96" state="visible" r:id="rId96"/>
    <sheet name="21 Oct - 27 Oct" sheetId="97" state="visible" r:id="rId97"/>
    <sheet name="28 Oct - 3 Nov" sheetId="98" state="visible" r:id="rId98"/>
    <sheet name="4 Nov - 10 Nov" sheetId="99" state="visible" r:id="rId99"/>
    <sheet name="11 Nov - 17 Nov" sheetId="100" state="visible" r:id="rId100"/>
    <sheet name="18 Nov - 24 Nov" sheetId="101" state="visible" r:id="rId101"/>
    <sheet name="25 Nov - 1 Dec" sheetId="102" state="visible" r:id="rId102"/>
    <sheet name="2 Dec - 8 Dec" sheetId="103" state="visible" r:id="rId103"/>
    <sheet name="9 Dec - 15 Dec" sheetId="104" state="visible" r:id="rId104"/>
    <sheet name="16 Dec - 22 Dec" sheetId="105" state="visible" r:id="rId105"/>
    <sheet name="23 Dec - 29 Dec" sheetId="106" state="visible" r:id="rId106"/>
    <sheet name="30 Dec - 5 Jan" sheetId="107" state="visible" r:id="rId107"/>
    <sheet name="6 Jan - 12 Jan" sheetId="108" state="visible" r:id="rId108"/>
    <sheet name="13 Jan - 19 Jan" sheetId="109" state="visible" r:id="rId109"/>
    <sheet name="20 Jan - 26 Jan" sheetId="110" state="visible" r:id="rId110"/>
    <sheet name="27 Jan - 2 Feb" sheetId="111" state="visible" r:id="rId111"/>
    <sheet name="3 Feb - 9 Feb" sheetId="112" state="visible" r:id="rId112"/>
    <sheet name="10 Feb - 16 Feb" sheetId="113" state="visible" r:id="rId113"/>
    <sheet name="17 Feb - 23 Feb" sheetId="114" state="visible" r:id="rId114"/>
    <sheet name="24 Feb - 1 March" sheetId="115" state="visible" r:id="rId115"/>
    <sheet name="2 March - 8 March" sheetId="116" state="visible" r:id="rId116"/>
    <sheet name="9 March - 15 March" sheetId="117" state="visible" r:id="rId117"/>
    <sheet name="16 March - 22 March" sheetId="118" state="visible" r:id="rId118"/>
    <sheet name="1 May - 3 May 2020" sheetId="119" state="visible" r:id="rId119"/>
    <sheet name="4 May - 10 May 2020" sheetId="120" state="visible" r:id="rId120"/>
    <sheet name="11 May - 17 May 2020" sheetId="121" state="visible" r:id="rId121"/>
    <sheet name="18 May - 24 May 2020" sheetId="122" state="visible" r:id="rId122"/>
    <sheet name="25 May - 31 May 2020" sheetId="123" state="visible" r:id="rId123"/>
    <sheet name="1 June - 7 June 2020" sheetId="124" state="visible" r:id="rId124"/>
    <sheet name="8 June - 14 June 2020" sheetId="125" state="visible" r:id="rId125"/>
    <sheet name="15 June - 21 June 2020" sheetId="126" state="visible" r:id="rId126"/>
    <sheet name="22 June - 28 June 2020" sheetId="127" state="visible" r:id="rId127"/>
    <sheet name="29 June - 5 July 2020" sheetId="128" state="visible" r:id="rId128"/>
    <sheet name="6 July - 12 July 2020" sheetId="129" state="visible" r:id="rId129"/>
    <sheet name="13 July - 19 July 2020" sheetId="130" state="visible" r:id="rId130"/>
    <sheet name="20 July - 26 July 2020" sheetId="131" state="visible" r:id="rId131"/>
    <sheet name="27 July - 2 August 2020" sheetId="132" state="visible" r:id="rId132"/>
    <sheet name="3 August - 9 August 2020" sheetId="133" state="visible" r:id="rId133"/>
    <sheet name="10 August - 16 August 2020" sheetId="134" state="visible" r:id="rId134"/>
    <sheet name="17 August - 23 August 2020" sheetId="135" state="visible" r:id="rId135"/>
    <sheet name="24 August - 30 August 2020" sheetId="136" state="visible" r:id="rId136"/>
    <sheet name="31 August - 6 Sept 2020" sheetId="137" state="visible" r:id="rId137"/>
    <sheet name="7 Sept - 13 Sept 2020" sheetId="138" state="visible" r:id="rId138"/>
    <sheet name="14 Sept - 20 Sept 2020" sheetId="139" state="visible" r:id="rId139"/>
    <sheet name="21 Sept - 27 Sept 2020" sheetId="140" state="visible" r:id="rId140"/>
    <sheet name="28 Sept - 4 Oct 2020" sheetId="141" state="visible" r:id="rId141"/>
    <sheet name="5 Oct - 11 Oct 2020" sheetId="142" state="visible" r:id="rId142"/>
    <sheet name="12 Oct - 18 Oct 2020" sheetId="143" state="visible" r:id="rId143"/>
    <sheet name="19 Oct - 25 Oct 2020" sheetId="144" state="visible" r:id="rId144"/>
    <sheet name="26 Oct - 1 Nov 2020" sheetId="145" state="visible" r:id="rId145"/>
    <sheet name="2 - 8 Nov 2020" sheetId="146" state="visible" r:id="rId146"/>
    <sheet name="9 - 15 Nov 2020" sheetId="147" state="visible" r:id="rId147"/>
    <sheet name="16 - 22 Nov 2020" sheetId="148" state="visible" r:id="rId148"/>
    <sheet name="23 - 29 Nov 2020" sheetId="149" state="visible" r:id="rId149"/>
    <sheet name="30 Nov - 6 Dec 2020" sheetId="150" state="visible" r:id="rId150"/>
    <sheet name="7 - 13 Dec 2020" sheetId="151" state="visible" r:id="rId151"/>
    <sheet name="14 - 20 Dec 2020" sheetId="152" state="visible" r:id="rId152"/>
    <sheet name="21 - 27 Dec 2020" sheetId="153" state="visible" r:id="rId153"/>
    <sheet name="28 Dec 2020 - 3 Jan 2021" sheetId="154" state="visible" r:id="rId154"/>
    <sheet name="4 - 10 Jan 2021" sheetId="155" state="visible" r:id="rId155"/>
    <sheet name="11 - 17 Jan 2021" sheetId="156" state="visible" r:id="rId156"/>
    <sheet name="18 - 24 Jan 2021" sheetId="157" state="visible" r:id="rId157"/>
    <sheet name="25 - 31 Jan 2021" sheetId="158" state="visible" r:id="rId158"/>
    <sheet name="1 - 7 Feb 2021" sheetId="159" state="visible" r:id="rId159"/>
    <sheet name="8 - 14 Feb 2021" sheetId="160" state="visible" r:id="rId160"/>
    <sheet name="15 - 21 Feb 2021" sheetId="161" state="visible" r:id="rId161"/>
    <sheet name="22 - 28 Feb 2021" sheetId="162" state="visible" r:id="rId162"/>
    <sheet name="1 - 7 March 2021" sheetId="163" state="visible" r:id="rId163"/>
    <sheet name="8 - 14 March 2021" sheetId="164" state="visible" r:id="rId164"/>
    <sheet name="15 - 21 March 2021" sheetId="165" state="visible" r:id="rId165"/>
    <sheet name="22 - 28 March 2021" sheetId="166" state="visible" r:id="rId166"/>
    <sheet name="29 March - 4 April 2021" sheetId="167" state="visible" r:id="rId167"/>
    <sheet name="5 - 11 April 2021" sheetId="168" state="visible" r:id="rId168"/>
    <sheet name="12 - 18 April 2021" sheetId="169" state="visible" r:id="rId169"/>
    <sheet name="19 - 25 April 2021" sheetId="170" state="visible" r:id="rId170"/>
    <sheet name="26 April - 2 May 2021" sheetId="171" state="visible" r:id="rId171"/>
    <sheet name="3 - 9 May 2021" sheetId="172" state="visible" r:id="rId172"/>
    <sheet name="10 - 16 May 2021" sheetId="173" state="visible" r:id="rId173"/>
    <sheet name="17 - 23 May 2021" sheetId="174" state="visible" r:id="rId174"/>
    <sheet name="24 - 30 May 2021" sheetId="175" state="visible" r:id="rId175"/>
    <sheet name="31 May - 6 June 2021" sheetId="176" state="visible" r:id="rId176"/>
    <sheet name="7 - 13 June 2021" sheetId="177" state="visible" r:id="rId177"/>
    <sheet name="14 - 20 June 2021" sheetId="178" state="visible" r:id="rId178"/>
    <sheet name="21 - 27 June 2021" sheetId="179" state="visible" r:id="rId179"/>
    <sheet name="28 June - 4 July 2021" sheetId="180" state="visible" r:id="rId180"/>
    <sheet name="5 - 11 July 2021" sheetId="181" state="visible" r:id="rId181"/>
    <sheet name="12 - 18 July 2021" sheetId="182" state="visible" r:id="rId182"/>
    <sheet name="19 - 25 July 2021" sheetId="183" state="visible" r:id="rId183"/>
    <sheet name="26 July - 1 August 2021" sheetId="184" state="visible" r:id="rId184"/>
    <sheet name="2 - 8 August 2021" sheetId="185" state="visible" r:id="rId185"/>
    <sheet name="9 - 15 August 2021" sheetId="186" state="visible" r:id="rId186"/>
    <sheet name="16 - 22 August 2021" sheetId="187" state="visible" r:id="rId187"/>
    <sheet name="23 - 29 August 2021" sheetId="188" state="visible" r:id="rId188"/>
    <sheet name="30 August - 5 Sept 2021" sheetId="189" state="visible" r:id="rId189"/>
    <sheet name="6 - 12 Sept 2021" sheetId="190" state="visible" r:id="rId190"/>
    <sheet name="13 - 19 Sept 2021" sheetId="191" state="visible" r:id="rId191"/>
    <sheet name="20 - 26 Sept 2021" sheetId="192" state="visible" r:id="rId192"/>
    <sheet name="27 Sept - 3 Oct 2021" sheetId="193" state="visible" r:id="rId193"/>
    <sheet name="4 - 10 Oct 2021" sheetId="194" state="visible" r:id="rId194"/>
    <sheet name="11 - 17 Oct 2021" sheetId="195" state="visible" r:id="rId195"/>
    <sheet name="18 - 24 Oct 2021" sheetId="196" state="visible" r:id="rId196"/>
    <sheet name="25 - 31 Oct 2021" sheetId="197" state="visible" r:id="rId197"/>
    <sheet name="1 - 7 Nov" sheetId="198" state="visible" r:id="rId198"/>
    <sheet name="8 - 14 Nov" sheetId="199" state="visible" r:id="rId199"/>
    <sheet name="15 - 21 Nov" sheetId="200" state="visible" r:id="rId200"/>
    <sheet name="22 - 28 Nov" sheetId="201" state="visible" r:id="rId201"/>
    <sheet name="29 Nov - 5 Dec" sheetId="202" state="visible" r:id="rId202"/>
    <sheet name="6 - 12 Dec" sheetId="203" state="visible" r:id="rId203"/>
    <sheet name="13 - 19 Dec" sheetId="204" state="visible" r:id="rId204"/>
    <sheet name="20 - 26 Dec" sheetId="205" state="visible" r:id="rId205"/>
    <sheet name="27 Dec - 2 Jan 2022" sheetId="206" state="visible" r:id="rId206"/>
    <sheet name="3 - 9 Jan 2022" sheetId="207" state="visible" r:id="rId207"/>
    <sheet name="10 - 16 Jan 2022" sheetId="208" state="visible" r:id="rId208"/>
    <sheet name="17 - 23 Jan 2022" sheetId="209" state="visible" r:id="rId209"/>
    <sheet name="24 - 30 Jan 2022" sheetId="210" state="visible" r:id="rId210"/>
    <sheet name="31 Jan - 6 Feb 2022" sheetId="211" state="visible" r:id="rId211"/>
    <sheet name="7 - 13 Feb 2022" sheetId="212" state="visible" r:id="rId212"/>
    <sheet name="14 - 20 Feb 2022" sheetId="213" state="visible" r:id="rId213"/>
    <sheet name="21 - 27 Feb 2022" sheetId="214" state="visible" r:id="rId214"/>
    <sheet name="28 Feb - 6 March 2022" sheetId="215" state="visible" r:id="rId215"/>
    <sheet name="7 March - 13 March 2022" sheetId="216" state="visible" r:id="rId216"/>
    <sheet name="14 March - 20 March 2022" sheetId="217" state="visible" r:id="rId217"/>
    <sheet name="21 March - 27 March 2022" sheetId="218" state="visible" r:id="rId218"/>
    <sheet name="28 March - 3 April 2022" sheetId="219" state="visible" r:id="rId219"/>
    <sheet name="4 April - 10 April 2022 " sheetId="220" state="visible" r:id="rId220"/>
    <sheet name="11 April - 17 April 2022" sheetId="221" state="visible" r:id="rId221"/>
    <sheet name="18 April - 24 April 2022" sheetId="222" state="visible" r:id="rId222"/>
    <sheet name="25 April - 1 May 2022" sheetId="223" state="visible" r:id="rId223"/>
    <sheet name="2 May - 8 May 2022" sheetId="224" state="visible" r:id="rId224"/>
    <sheet name="9 May - 15 May 2022" sheetId="225" state="visible" r:id="rId225"/>
    <sheet name="16 May - 22 May 2022" sheetId="226" state="visible" r:id="rId226"/>
    <sheet name="23 May - 29 May 2022" sheetId="227" state="visible" r:id="rId227"/>
    <sheet name="30 May - 5 June 2022" sheetId="228" state="visible" r:id="rId228"/>
    <sheet name="6 June - 12 June 2022" sheetId="229" state="visible" r:id="rId229"/>
    <sheet name="13 June - 19 June 2022" sheetId="230" state="visible" r:id="rId230"/>
    <sheet name="20 June - 26 June 2022" sheetId="231" state="visible" r:id="rId231"/>
    <sheet name="27 June - 3 July 2022" sheetId="232" state="visible" r:id="rId232"/>
    <sheet name="4 July - 10 July 2022" sheetId="233" state="visible" r:id="rId233"/>
    <sheet name="11 July - 17 July 2022" sheetId="234" state="visible" r:id="rId234"/>
    <sheet name="18 July - 24 July 2022" sheetId="235" state="visible" r:id="rId235"/>
    <sheet name="25 July - 31 July 2022" sheetId="236" state="visible" r:id="rId236"/>
    <sheet name="1 Aug - 7 Aug 2022" sheetId="237" state="visible" r:id="rId237"/>
    <sheet name="8 Aug - 14 Aug 2022" sheetId="238" state="visible" r:id="rId238"/>
    <sheet name="15 Aug - 21 Aug 2022" sheetId="239" state="visible" r:id="rId239"/>
    <sheet name="22 Aug - 28 Aug 2022" sheetId="240" state="visible" r:id="rId240"/>
    <sheet name="29 Aug - 4 Sep 2022 " sheetId="241" state="visible" r:id="rId241"/>
    <sheet name="5 Sep - 11 Sep 2022" sheetId="242" state="visible" r:id="rId242"/>
    <sheet name="12 Sep - 18 Sep 2022" sheetId="243" state="visible" r:id="rId243"/>
    <sheet name="19 Sep - 25 Sep 2022" sheetId="244" state="visible" r:id="rId244"/>
    <sheet name="26 Sep - 02 Oct 2022" sheetId="245" state="visible" r:id="rId245"/>
    <sheet name="03 Oct - 09 Oct 2022 " sheetId="246" state="visible" r:id="rId246"/>
    <sheet name="10 Oct -16 Oct 2022" sheetId="247" state="visible" r:id="rId247"/>
    <sheet name="17 Oct -23 Oct 2022" sheetId="248" state="visible" r:id="rId248"/>
    <sheet name="24 Oct -30 Oct 2022" sheetId="249" state="visible" r:id="rId249"/>
    <sheet name="31 Oct - 06 Nov 2022" sheetId="250" state="visible" r:id="rId250"/>
    <sheet name="07 Nov - 13 Nov  2022 " sheetId="251" state="visible" r:id="rId251"/>
    <sheet name="14 Nov - 20 Nov  2022" sheetId="252" state="visible" r:id="rId252"/>
    <sheet name="21 Nov - 27 Nov  2022" sheetId="253" state="visible" r:id="rId253"/>
    <sheet name="28 Nov - 04 Dec  2022" sheetId="254" state="visible" r:id="rId254"/>
    <sheet name="5 Dec - 11 Dec  2022" sheetId="255" state="visible" r:id="rId255"/>
    <sheet name="12 Dec - 18 Dec  2022" sheetId="256" state="visible" r:id="rId256"/>
    <sheet name="19 Dec - 25 Dec  2022" sheetId="257" state="visible" r:id="rId257"/>
    <sheet name="26 Dec - 01 Jan 2023" sheetId="258" state="visible" r:id="rId258"/>
    <sheet name="02 Jan - 08 Jan 2023" sheetId="259" state="visible" r:id="rId259"/>
    <sheet name="09 Jan - 15 Jan 2023" sheetId="260" state="visible" r:id="rId260"/>
    <sheet name="16 Jan - 22 Jan 2023" sheetId="261" state="visible" r:id="rId261"/>
    <sheet name="23 Jan - 29 Jan 2023" sheetId="262" state="visible" r:id="rId262"/>
    <sheet name="30 Jan - 05 Feb 2023" sheetId="263" state="visible" r:id="rId263"/>
    <sheet name="6 Feb - 12 Feb 2023" sheetId="264" state="visible" r:id="rId264"/>
    <sheet name="13 Feb - 19 Feb 2023" sheetId="265" state="visible" r:id="rId265"/>
    <sheet name="20 Feb - 26 Feb 2023" sheetId="266" state="visible" r:id="rId266"/>
    <sheet name="27 Feb - 5 Mar 2023" sheetId="267" state="visible" r:id="rId267"/>
    <sheet name="6 Mar - 12 Mar 2023 " sheetId="268" state="visible" r:id="rId268"/>
    <sheet name="13 Mar - 19 Mar 2023" sheetId="269" state="visible" r:id="rId269"/>
    <sheet name="20 Mar - 26 Mar 2023 " sheetId="270" state="visible" r:id="rId270"/>
    <sheet name="27 Mar - 02 April 2023  " sheetId="271" state="visible" r:id="rId271"/>
    <sheet name="03 Mar - 09 April 2023  " sheetId="272" state="visible" r:id="rId272"/>
    <sheet name="10 Mar - 16 April 2023   " sheetId="273" state="visible" r:id="rId273"/>
    <sheet name="17 Mar - 23 April 2023    " sheetId="274" state="visible" r:id="rId274"/>
    <sheet name="24 APRIL -30 April 2023 " sheetId="275" state="visible" r:id="rId275"/>
    <sheet name="01 May- 07 May 2023 " sheetId="276" state="visible" r:id="rId276"/>
    <sheet name="08 May - 14 May 2023" sheetId="277" state="visible" r:id="rId277"/>
    <sheet name="15 May - 21 May 2023 " sheetId="278" state="visible" r:id="rId278"/>
    <sheet name="22 May - 28 May 2023  " sheetId="279" state="visible" r:id="rId279"/>
    <sheet name="29 May - 04 June 2023  " sheetId="280" state="visible" r:id="rId280"/>
    <sheet name="05 June - 11 June 2023" sheetId="281" state="visible" r:id="rId281"/>
    <sheet name="12 June - 18 June 2023" sheetId="282" state="visible" r:id="rId282"/>
    <sheet name="19 June - 25 June 2023" sheetId="283" state="visible" r:id="rId283"/>
    <sheet name="26 June - 2 July 2023" sheetId="284" state="visible" r:id="rId284"/>
    <sheet name="03 July - 9 July 2023 " sheetId="285" state="visible" r:id="rId285"/>
    <sheet name="10 July - 16 July 2023  " sheetId="286" state="visible" r:id="rId286"/>
    <sheet name="17 July - 23 July 2023" sheetId="287" state="visible" r:id="rId287"/>
    <sheet name="Data" sheetId="288" state="visible" r:id="rId288"/>
    <sheet name="24 July - 30 July 2023" sheetId="289" state="visible" r:id="rId289"/>
    <sheet name="31 August - 06 August 2023 " sheetId="290" state="visible" r:id="rId290"/>
    <sheet name="07 August - 13 August 2023" sheetId="291" state="visible" r:id="rId291"/>
    <sheet name="14  August - 20 August 2023" sheetId="292" state="visible" r:id="rId292"/>
    <sheet name="sheet1" sheetId="293" state="visible" r:id="rId293"/>
    <sheet name="Promo" sheetId="294" state="hidden" r:id="rId294"/>
    <sheet name="Naming Convertions" sheetId="295" state="hidden" r:id="rId295"/>
    <sheet name="sheet1 (2)" sheetId="296" state="visible" r:id="rId296"/>
    <sheet name="created_sheet_20230908_114517" sheetId="297" state="visible" r:id="rId297"/>
  </sheets>
  <definedNames>
    <definedName name="_xlnm.Print_Area" localSheetId="0">'Dec 25 - Jan 1 17'!$A$1:$M$39</definedName>
    <definedName name="_xlnm.Print_Area" localSheetId="1">'Dec 25 - Dec 31 17'!$A$1:$M$39</definedName>
    <definedName name="_xlnm.Print_Area" localSheetId="2">'Jan 1 - Jan 7'!$A$1:$M$39</definedName>
    <definedName name="_xlnm.Print_Area" localSheetId="3">'Jan 8 - Jan 14'!$A$1:$M$39</definedName>
    <definedName name="_xlnm.Print_Area" localSheetId="4">'Jan 15 - Jan 21'!$A$1:$M$39</definedName>
    <definedName name="_xlnm.Print_Area" localSheetId="5">'Jan 22 - Jan 28'!$A$1:$M$39</definedName>
    <definedName name="_xlnm.Print_Area" localSheetId="6">'Jan 29 - Feb 4'!$A$1:$M$39</definedName>
    <definedName name="_xlnm.Print_Area" localSheetId="7">'Feb 5 - Feb 11'!$A$1:$M$39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11">'Mar 5 - Mar 11'!$A$1:$M$39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5">'Apr 2 - Apr 8'!$A$1:$M$39</definedName>
    <definedName name="_xlnm.Print_Area" localSheetId="16">'Apr 9 - Apr 15'!$A$1:$M$39</definedName>
    <definedName name="_xlnm.Print_Area" localSheetId="17">'Apr 16 - Apr 22'!$A$1:$M$39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20">'May 7 - May 13'!$A$1:$M$39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4">'Jun 4 - Jun 10'!$A$1:$M$39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8">'Jul 2 - Jul 8'!$A$1:$M$39</definedName>
    <definedName name="_xlnm.Print_Area" localSheetId="29">'Jul 9 - Jul 15'!$A$1:$M$39</definedName>
    <definedName name="_xlnm.Print_Area" localSheetId="30">'Jul 16 - Jul 22'!$A$1:$M$39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33">'Aug 6 - Aug 12'!$A$1:$M$39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7">'Sept 3 - Sept 9'!$A$1:$M$39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41">'Oct 1 - Oct 7'!$A$1:$M$39</definedName>
    <definedName name="_xlnm.Print_Area" localSheetId="42">'Oct 8 - Oct 14'!$A$1:$M$39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6">'Nov 5 - Nov 11'!$A$1:$M$39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50">'Dec 3 - Dec 9'!$A$1:$M$39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54">'Dec 31 - Jan 6'!$A$1:$M$36</definedName>
    <definedName name="_xlnm.Print_Area" localSheetId="55">'Jan 7 - Jan 13'!$A$1:$M$36</definedName>
    <definedName name="_xlnm.Print_Area" localSheetId="56">'Jan 14 - Jan 20'!$A$1:$M$36</definedName>
    <definedName name="_xlnm.Print_Area" localSheetId="57">'Jan 21 - Jan 27'!$A$1:$M$36</definedName>
    <definedName name="_xlnm.Print_Area" localSheetId="58">'28 Jan - 3 Feb'!$A$1:$M$37</definedName>
    <definedName name="_xlnm.Print_Area" localSheetId="59">'4 Feb - 10 Feb'!$A$1:$M$37</definedName>
    <definedName name="_xlnm.Print_Area" localSheetId="60">'11 Feb - 17 Feb'!$A$1:$K$37</definedName>
    <definedName name="_xlnm.Print_Area" localSheetId="61">'18 Feb - 24 Feb'!$A$1:$K$37</definedName>
    <definedName name="_xlnm.Print_Area" localSheetId="62">'25 Feb - 3 Mar'!$A$1:$L$37</definedName>
    <definedName name="_xlnm.Print_Area" localSheetId="63">'4 Mar- 10 Mar'!$A$1:$L$37</definedName>
    <definedName name="_xlnm.Print_Area" localSheetId="64">'11 Mar- 17 Mar'!$A$1:$L$37</definedName>
    <definedName name="_xlnm.Print_Area" localSheetId="65">'18 Mar- 24 Mar'!$A$1:$L$37</definedName>
    <definedName name="_xlnm.Print_Area" localSheetId="66">'25 Mar- 31 Mar'!$A$1:$L$37</definedName>
    <definedName name="_xlnm.Print_Area" localSheetId="67">'1 Apr- 7 Apr'!$A$1:$L$37</definedName>
    <definedName name="_xlnm.Print_Area" localSheetId="68">'8 Apr- 14 Apr'!$A$1:$L$37</definedName>
    <definedName name="_xlnm.Print_Area" localSheetId="69">'15 Apr- 21 Apr'!$A$1:$L$37</definedName>
    <definedName name="_xlnm.Print_Area" localSheetId="70">'22 Apr- 28 Apr'!$A$1:$L$37</definedName>
    <definedName name="_xlnm.Print_Area" localSheetId="71">'29 Apr- 5 May'!$A$1:$L$37</definedName>
    <definedName name="_xlnm.Print_Area" localSheetId="72">'6 May - 12 May'!$A$1:$L$37</definedName>
  </definedNames>
  <calcPr calcId="191029" fullCalcOnLoad="1"/>
</workbook>
</file>

<file path=xl/styles.xml><?xml version="1.0" encoding="utf-8"?>
<styleSheet xmlns="http://schemas.openxmlformats.org/spreadsheetml/2006/main">
  <numFmts count="7"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&quot;R&quot;#,##0.00;[Red]\-&quot;R&quot;#,##0.00"/>
    <numFmt numFmtId="168" formatCode="0.0%"/>
    <numFmt numFmtId="169" formatCode="[$R]\ #\ ###\ ###\ ##0.00;[$R]\ \-#\ ###\ ###\ ##0.00"/>
    <numFmt numFmtId="170" formatCode="&quot;R&quot;#,##0"/>
  </numFmts>
  <fonts count="57">
    <font>
      <name val="Calibri"/>
      <family val="2"/>
      <color theme="1"/>
      <sz val="11"/>
      <scheme val="minor"/>
    </font>
    <font>
      <name val="Arial"/>
      <family val="2"/>
      <color theme="1"/>
      <sz val="12"/>
    </font>
    <font>
      <name val="Arial"/>
      <family val="2"/>
      <color theme="1"/>
      <sz val="12"/>
    </font>
    <font>
      <name val="Arial"/>
      <family val="2"/>
      <sz val="10"/>
    </font>
    <font>
      <name val="Arial"/>
      <family val="2"/>
      <sz val="10"/>
    </font>
    <font>
      <name val="Arial"/>
      <family val="2"/>
      <sz val="12"/>
    </font>
    <font>
      <name val="Arial"/>
      <charset val="238"/>
      <family val="2"/>
      <b val="1"/>
      <sz val="12"/>
    </font>
    <font>
      <name val="Arial"/>
      <family val="2"/>
      <b val="1"/>
      <sz val="12"/>
    </font>
    <font>
      <name val="Arial"/>
      <family val="2"/>
      <sz val="11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b val="1"/>
      <color theme="0"/>
      <sz val="11"/>
      <scheme val="minor"/>
    </font>
    <font>
      <name val="Arial"/>
      <family val="2"/>
      <b val="1"/>
      <color theme="1"/>
      <sz val="12"/>
    </font>
    <font>
      <name val="Arial"/>
      <family val="2"/>
      <color indexed="8"/>
      <sz val="12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Arial"/>
      <family val="2"/>
      <color rgb="FF006100"/>
      <sz val="12"/>
    </font>
    <font>
      <name val="Arial"/>
      <family val="2"/>
      <color rgb="FF9C0006"/>
      <sz val="12"/>
    </font>
    <font>
      <name val="Arial"/>
      <family val="2"/>
      <color rgb="FF9C6500"/>
      <sz val="12"/>
    </font>
    <font>
      <name val="Arial"/>
      <family val="2"/>
      <color rgb="FF3F3F76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FA7D00"/>
      <sz val="12"/>
    </font>
    <font>
      <name val="Arial"/>
      <family val="2"/>
      <color rgb="FFFA7D00"/>
      <sz val="12"/>
    </font>
    <font>
      <name val="Arial"/>
      <family val="2"/>
      <color rgb="FFFF0000"/>
      <sz val="12"/>
    </font>
    <font>
      <name val="Arial"/>
      <family val="2"/>
      <i val="1"/>
      <color rgb="FF7F7F7F"/>
      <sz val="12"/>
    </font>
    <font>
      <name val="Arial"/>
      <family val="2"/>
      <color theme="1"/>
      <sz val="14"/>
    </font>
    <font>
      <name val="Calibri"/>
      <family val="2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000000"/>
      <sz val="11"/>
    </font>
    <font>
      <name val="Calibri"/>
      <family val="2"/>
      <b val="1"/>
      <color rgb="FF000000"/>
      <sz val="8"/>
    </font>
    <font>
      <name val="Arial"/>
      <family val="2"/>
      <b val="1"/>
      <color theme="4"/>
      <sz val="12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2"/>
      <scheme val="minor"/>
    </font>
    <font>
      <name val="Arial"/>
      <sz val="10"/>
    </font>
    <font>
      <name val="Arial"/>
      <b val="1"/>
      <sz val="12"/>
    </font>
    <font>
      <name val="Calibri"/>
      <color theme="1"/>
      <sz val="11"/>
    </font>
    <font>
      <name val="Calibri"/>
      <color theme="0"/>
      <sz val="11"/>
    </font>
    <font>
      <name val="Calibri"/>
      <b val="1"/>
      <color theme="0"/>
      <sz val="11"/>
    </font>
    <font>
      <name val="Arial"/>
      <sz val="12"/>
    </font>
    <font>
      <name val="Arial"/>
      <b val="1"/>
      <color theme="4"/>
      <sz val="12"/>
    </font>
    <font>
      <name val="Arial"/>
      <b val="1"/>
      <color theme="1"/>
      <sz val="12"/>
    </font>
    <font>
      <name val="Arial"/>
      <b val="1"/>
      <color theme="0"/>
      <sz val="12"/>
    </font>
    <font>
      <name val="Calibri"/>
      <color theme="1"/>
      <sz val="12"/>
    </font>
    <font>
      <name val="Arial"/>
      <color theme="1"/>
      <sz val="12"/>
    </font>
    <font>
      <name val="Arial"/>
      <color theme="0"/>
      <sz val="12"/>
    </font>
  </fonts>
  <fills count="44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  <border>
      <left/>
      <right/>
      <top/>
      <bottom/>
    </border>
    <border>
      <left style="medium">
        <color indexed="64"/>
      </left>
      <right style="medium">
        <color indexed="64"/>
      </right>
      <top style="medium">
        <color indexed="64"/>
      </top>
      <bottom/>
    </border>
    <border>
      <left style="medium">
        <color indexed="64"/>
      </left>
      <right style="medium">
        <color indexed="64"/>
      </right>
      <top/>
      <bottom/>
    </border>
    <border>
      <left style="medium">
        <color indexed="64"/>
      </left>
      <right/>
      <top/>
      <bottom/>
    </border>
    <border>
      <left style="thin">
        <color indexed="64"/>
      </left>
      <right/>
      <top/>
      <bottom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/>
    </border>
    <border>
      <left/>
      <right/>
      <top/>
      <bottom style="thin">
        <color indexed="64"/>
      </bottom>
    </border>
  </borders>
  <cellStyleXfs count="92">
    <xf numFmtId="0" fontId="26" fillId="0" borderId="100"/>
    <xf numFmtId="0" fontId="4" fillId="0" borderId="100"/>
    <xf numFmtId="0" fontId="4" fillId="0" borderId="100"/>
    <xf numFmtId="9" fontId="4" fillId="0" borderId="100"/>
    <xf numFmtId="164" fontId="4" fillId="0" borderId="100"/>
    <xf numFmtId="164" fontId="4" fillId="0" borderId="100"/>
    <xf numFmtId="164" fontId="4" fillId="0" borderId="100"/>
    <xf numFmtId="0" fontId="4" fillId="0" borderId="100"/>
    <xf numFmtId="9" fontId="4" fillId="0" borderId="100"/>
    <xf numFmtId="9" fontId="4" fillId="0" borderId="100"/>
    <xf numFmtId="9" fontId="26" fillId="0" borderId="100"/>
    <xf numFmtId="0" fontId="2" fillId="0" borderId="100"/>
    <xf numFmtId="0" fontId="2" fillId="11" borderId="17"/>
    <xf numFmtId="0" fontId="28" fillId="0" borderId="100"/>
    <xf numFmtId="0" fontId="26" fillId="0" borderId="100"/>
    <xf numFmtId="9" fontId="26" fillId="0" borderId="100"/>
    <xf numFmtId="0" fontId="16" fillId="5" borderId="100"/>
    <xf numFmtId="0" fontId="17" fillId="6" borderId="100"/>
    <xf numFmtId="0" fontId="18" fillId="7" borderId="100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100"/>
    <xf numFmtId="0" fontId="24" fillId="0" borderId="100"/>
    <xf numFmtId="0" fontId="12" fillId="0" borderId="18"/>
    <xf numFmtId="0" fontId="15" fillId="12" borderId="100"/>
    <xf numFmtId="0" fontId="2" fillId="13" borderId="100"/>
    <xf numFmtId="0" fontId="2" fillId="14" borderId="100"/>
    <xf numFmtId="0" fontId="15" fillId="15" borderId="100"/>
    <xf numFmtId="0" fontId="15" fillId="16" borderId="100"/>
    <xf numFmtId="0" fontId="2" fillId="17" borderId="100"/>
    <xf numFmtId="0" fontId="2" fillId="18" borderId="100"/>
    <xf numFmtId="0" fontId="15" fillId="19" borderId="100"/>
    <xf numFmtId="0" fontId="15" fillId="20" borderId="100"/>
    <xf numFmtId="0" fontId="2" fillId="21" borderId="100"/>
    <xf numFmtId="0" fontId="2" fillId="22" borderId="100"/>
    <xf numFmtId="0" fontId="15" fillId="23" borderId="100"/>
    <xf numFmtId="0" fontId="15" fillId="24" borderId="100"/>
    <xf numFmtId="0" fontId="2" fillId="25" borderId="100"/>
    <xf numFmtId="0" fontId="2" fillId="26" borderId="100"/>
    <xf numFmtId="0" fontId="15" fillId="27" borderId="100"/>
    <xf numFmtId="0" fontId="15" fillId="28" borderId="100"/>
    <xf numFmtId="0" fontId="2" fillId="29" borderId="100"/>
    <xf numFmtId="0" fontId="2" fillId="30" borderId="100"/>
    <xf numFmtId="0" fontId="15" fillId="31" borderId="100"/>
    <xf numFmtId="0" fontId="15" fillId="32" borderId="100"/>
    <xf numFmtId="0" fontId="2" fillId="33" borderId="100"/>
    <xf numFmtId="0" fontId="2" fillId="34" borderId="100"/>
    <xf numFmtId="0" fontId="15" fillId="35" borderId="100"/>
    <xf numFmtId="0" fontId="2" fillId="0" borderId="100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100"/>
    <xf numFmtId="0" fontId="34" fillId="5" borderId="100"/>
    <xf numFmtId="0" fontId="35" fillId="6" borderId="100"/>
    <xf numFmtId="0" fontId="36" fillId="7" borderId="100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100"/>
    <xf numFmtId="0" fontId="42" fillId="0" borderId="100"/>
    <xf numFmtId="0" fontId="43" fillId="0" borderId="18"/>
    <xf numFmtId="0" fontId="27" fillId="12" borderId="100"/>
    <xf numFmtId="0" fontId="26" fillId="13" borderId="100"/>
    <xf numFmtId="0" fontId="26" fillId="14" borderId="100"/>
    <xf numFmtId="0" fontId="26" fillId="15" borderId="100"/>
    <xf numFmtId="0" fontId="27" fillId="16" borderId="100"/>
    <xf numFmtId="0" fontId="26" fillId="17" borderId="100"/>
    <xf numFmtId="0" fontId="26" fillId="18" borderId="100"/>
    <xf numFmtId="0" fontId="26" fillId="19" borderId="100"/>
    <xf numFmtId="0" fontId="27" fillId="20" borderId="100"/>
    <xf numFmtId="0" fontId="26" fillId="21" borderId="100"/>
    <xf numFmtId="0" fontId="26" fillId="22" borderId="100"/>
    <xf numFmtId="0" fontId="26" fillId="23" borderId="100"/>
    <xf numFmtId="0" fontId="27" fillId="24" borderId="100"/>
    <xf numFmtId="0" fontId="26" fillId="25" borderId="100"/>
    <xf numFmtId="0" fontId="26" fillId="26" borderId="100"/>
    <xf numFmtId="0" fontId="26" fillId="27" borderId="100"/>
    <xf numFmtId="0" fontId="27" fillId="28" borderId="100"/>
    <xf numFmtId="0" fontId="26" fillId="29" borderId="100"/>
    <xf numFmtId="0" fontId="26" fillId="30" borderId="100"/>
    <xf numFmtId="0" fontId="26" fillId="31" borderId="100"/>
    <xf numFmtId="0" fontId="27" fillId="32" borderId="100"/>
    <xf numFmtId="0" fontId="26" fillId="33" borderId="100"/>
    <xf numFmtId="0" fontId="26" fillId="34" borderId="100"/>
    <xf numFmtId="0" fontId="26" fillId="35" borderId="100"/>
  </cellStyleXfs>
  <cellXfs count="550">
    <xf numFmtId="0" fontId="0" fillId="0" borderId="0" pivotButton="0" quotePrefix="0" xfId="0"/>
    <xf numFmtId="0" fontId="3" fillId="0" borderId="0" pivotButton="0" quotePrefix="0" xfId="1"/>
    <xf numFmtId="0" fontId="5" fillId="0" borderId="0" pivotButton="0" quotePrefix="0" xfId="1"/>
    <xf numFmtId="164" fontId="7" fillId="0" borderId="1" applyAlignment="1" pivotButton="0" quotePrefix="0" xfId="1">
      <alignment horizontal="left" wrapText="1"/>
    </xf>
    <xf numFmtId="9" fontId="8" fillId="0" borderId="1" applyAlignment="1" pivotButton="0" quotePrefix="0" xfId="3">
      <alignment horizontal="center"/>
    </xf>
    <xf numFmtId="165" fontId="5" fillId="0" borderId="1" applyAlignment="1" pivotButton="0" quotePrefix="0" xfId="4">
      <alignment horizontal="center"/>
    </xf>
    <xf numFmtId="165" fontId="5" fillId="0" borderId="1" applyAlignment="1" pivotButton="0" quotePrefix="0" xfId="5">
      <alignment horizontal="center"/>
    </xf>
    <xf numFmtId="0" fontId="3" fillId="0" borderId="0" pivotButton="0" quotePrefix="0" xfId="7"/>
    <xf numFmtId="164" fontId="0" fillId="0" borderId="0" pivotButton="0" quotePrefix="0" xfId="0"/>
    <xf numFmtId="0" fontId="10" fillId="0" borderId="0" pivotButton="0" quotePrefix="0" xfId="0"/>
    <xf numFmtId="0" fontId="6" fillId="2" borderId="2" applyAlignment="1" pivotButton="0" quotePrefix="0" xfId="1">
      <alignment horizontal="center"/>
    </xf>
    <xf numFmtId="0" fontId="7" fillId="2" borderId="2" applyAlignment="1" pivotButton="0" quotePrefix="0" xfId="1">
      <alignment horizontal="center"/>
    </xf>
    <xf numFmtId="0" fontId="7" fillId="2" borderId="1" pivotButton="0" quotePrefix="0" xfId="1"/>
    <xf numFmtId="0" fontId="7" fillId="2" borderId="3" applyAlignment="1" pivotButton="0" quotePrefix="0" xfId="1">
      <alignment horizontal="center"/>
    </xf>
    <xf numFmtId="0" fontId="7" fillId="3" borderId="4" pivotButton="0" quotePrefix="0" xfId="7"/>
    <xf numFmtId="0" fontId="6" fillId="2" borderId="2" applyAlignment="1" pivotButton="0" quotePrefix="0" xfId="1">
      <alignment horizontal="center" wrapText="1"/>
    </xf>
    <xf numFmtId="0" fontId="7" fillId="2" borderId="2" applyAlignment="1" pivotButton="0" quotePrefix="0" xfId="1">
      <alignment horizontal="center" wrapText="1"/>
    </xf>
    <xf numFmtId="0" fontId="11" fillId="0" borderId="0" pivotButton="0" quotePrefix="0" xfId="0"/>
    <xf numFmtId="166" fontId="5" fillId="0" borderId="1" applyAlignment="1" pivotButton="0" quotePrefix="0" xfId="0">
      <alignment horizontal="right" vertical="center"/>
    </xf>
    <xf numFmtId="0" fontId="7" fillId="2" borderId="2" pivotButton="0" quotePrefix="0" xfId="1"/>
    <xf numFmtId="9" fontId="7" fillId="0" borderId="1" applyAlignment="1" pivotButton="0" quotePrefix="0" xfId="1">
      <alignment horizontal="left" wrapText="1"/>
    </xf>
    <xf numFmtId="0" fontId="14" fillId="0" borderId="0" pivotButton="0" quotePrefix="0" xfId="0"/>
    <xf numFmtId="0" fontId="15" fillId="0" borderId="0" pivotButton="0" quotePrefix="0" xfId="0"/>
    <xf numFmtId="0" fontId="14" fillId="4" borderId="0" applyAlignment="1" pivotButton="0" quotePrefix="0" xfId="0">
      <alignment wrapText="1"/>
    </xf>
    <xf numFmtId="1" fontId="14" fillId="0" borderId="0" pivotButton="0" quotePrefix="0" xfId="0"/>
    <xf numFmtId="1" fontId="10" fillId="0" borderId="0" pivotButton="0" quotePrefix="0" xfId="0"/>
    <xf numFmtId="1" fontId="15" fillId="0" borderId="0" pivotButton="0" quotePrefix="0" xfId="0"/>
    <xf numFmtId="2" fontId="5" fillId="0" borderId="0" applyAlignment="1" pivotButton="0" quotePrefix="0" xfId="0">
      <alignment horizontal="right" vertical="center"/>
    </xf>
    <xf numFmtId="10" fontId="7" fillId="0" borderId="1" applyAlignment="1" pivotButton="0" quotePrefix="0" xfId="1">
      <alignment horizontal="left" wrapText="1"/>
    </xf>
    <xf numFmtId="1" fontId="7" fillId="0" borderId="1" applyAlignment="1" pivotButton="0" quotePrefix="0" xfId="1">
      <alignment horizontal="left" wrapText="1"/>
    </xf>
    <xf numFmtId="166" fontId="7" fillId="0" borderId="1" applyAlignment="1" pivotButton="0" quotePrefix="0" xfId="0">
      <alignment horizontal="right" vertical="center"/>
    </xf>
    <xf numFmtId="10" fontId="3" fillId="3" borderId="5" applyAlignment="1" pivotButton="0" quotePrefix="0" xfId="10">
      <alignment horizontal="center"/>
    </xf>
    <xf numFmtId="4" fontId="5" fillId="0" borderId="1" applyAlignment="1" pivotButton="0" quotePrefix="0" xfId="0">
      <alignment horizontal="right" vertical="center"/>
    </xf>
    <xf numFmtId="4" fontId="25" fillId="0" borderId="0" pivotButton="0" quotePrefix="0" xfId="0"/>
    <xf numFmtId="14" fontId="3" fillId="0" borderId="0" pivotButton="0" quotePrefix="0" xfId="1"/>
    <xf numFmtId="14" fontId="7" fillId="2" borderId="2" applyAlignment="1" pivotButton="0" quotePrefix="0" xfId="1">
      <alignment horizontal="center"/>
    </xf>
    <xf numFmtId="14" fontId="0" fillId="0" borderId="0" pivotButton="0" quotePrefix="0" xfId="0"/>
    <xf numFmtId="164" fontId="7" fillId="0" borderId="19" applyAlignment="1" pivotButton="0" quotePrefix="0" xfId="1">
      <alignment horizontal="left" wrapText="1"/>
    </xf>
    <xf numFmtId="0" fontId="7" fillId="0" borderId="20" applyAlignment="1" pivotButton="0" quotePrefix="0" xfId="1">
      <alignment horizontal="left"/>
    </xf>
    <xf numFmtId="0" fontId="7" fillId="2" borderId="8" applyAlignment="1" pivotButton="0" quotePrefix="0" xfId="1">
      <alignment horizontal="left"/>
    </xf>
    <xf numFmtId="0" fontId="7" fillId="2" borderId="8" pivotButton="0" quotePrefix="0" xfId="1"/>
    <xf numFmtId="0" fontId="12" fillId="0" borderId="2" pivotButton="0" quotePrefix="0" xfId="0"/>
    <xf numFmtId="166" fontId="5" fillId="0" borderId="3" applyAlignment="1" pivotButton="0" quotePrefix="0" xfId="0">
      <alignment horizontal="right" vertical="center"/>
    </xf>
    <xf numFmtId="4" fontId="5" fillId="0" borderId="3" applyAlignment="1" pivotButton="0" quotePrefix="0" xfId="4">
      <alignment horizontal="right" vertical="center"/>
    </xf>
    <xf numFmtId="9" fontId="8" fillId="3" borderId="1" applyAlignment="1" pivotButton="0" quotePrefix="0" xfId="3">
      <alignment horizontal="center"/>
    </xf>
    <xf numFmtId="164" fontId="7" fillId="0" borderId="1" applyAlignment="1" pivotButton="0" quotePrefix="0" xfId="1">
      <alignment horizontal="center"/>
    </xf>
    <xf numFmtId="165" fontId="7" fillId="0" borderId="1" applyAlignment="1" pivotButton="0" quotePrefix="0" xfId="1">
      <alignment horizontal="left" wrapText="1"/>
    </xf>
    <xf numFmtId="0" fontId="5" fillId="0" borderId="1" applyAlignment="1" pivotButton="0" quotePrefix="0" xfId="1">
      <alignment horizontal="center"/>
    </xf>
    <xf numFmtId="164" fontId="8" fillId="0" borderId="1" applyAlignment="1" pivotButton="0" quotePrefix="0" xfId="7">
      <alignment horizontal="center"/>
    </xf>
    <xf numFmtId="1" fontId="5" fillId="0" borderId="1" applyAlignment="1" pivotButton="0" quotePrefix="0" xfId="1">
      <alignment horizontal="center"/>
    </xf>
    <xf numFmtId="9" fontId="8" fillId="0" borderId="8" applyAlignment="1" pivotButton="0" quotePrefix="0" xfId="3">
      <alignment horizontal="center"/>
    </xf>
    <xf numFmtId="9" fontId="8" fillId="0" borderId="23" applyAlignment="1" pivotButton="0" quotePrefix="0" xfId="3">
      <alignment horizontal="center"/>
    </xf>
    <xf numFmtId="4" fontId="5" fillId="0" borderId="9" pivotButton="0" quotePrefix="0" xfId="7"/>
    <xf numFmtId="4" fontId="5" fillId="0" borderId="1" pivotButton="0" quotePrefix="0" xfId="1"/>
    <xf numFmtId="4" fontId="7" fillId="0" borderId="1" applyAlignment="1" pivotButton="0" quotePrefix="0" xfId="1">
      <alignment horizontal="left" wrapText="1"/>
    </xf>
    <xf numFmtId="4" fontId="5" fillId="0" borderId="21" pivotButton="0" quotePrefix="0" xfId="7"/>
    <xf numFmtId="4" fontId="5" fillId="0" borderId="3" pivotButton="0" quotePrefix="0" xfId="1"/>
    <xf numFmtId="4" fontId="7" fillId="0" borderId="22" applyAlignment="1" pivotButton="0" quotePrefix="0" xfId="1">
      <alignment horizontal="left" wrapText="1"/>
    </xf>
    <xf numFmtId="4" fontId="7" fillId="0" borderId="6" applyAlignment="1" pivotButton="0" quotePrefix="0" xfId="1">
      <alignment horizontal="left" wrapText="1"/>
    </xf>
    <xf numFmtId="4" fontId="13" fillId="0" borderId="0" pivotButton="0" quotePrefix="0" xfId="0"/>
    <xf numFmtId="4" fontId="7" fillId="0" borderId="7" applyAlignment="1" pivotButton="0" quotePrefix="0" xfId="1">
      <alignment horizontal="left" wrapText="1"/>
    </xf>
    <xf numFmtId="3" fontId="5" fillId="0" borderId="1" pivotButton="0" quotePrefix="0" xfId="1"/>
    <xf numFmtId="3" fontId="5" fillId="0" borderId="1" applyAlignment="1" pivotButton="0" quotePrefix="0" xfId="0">
      <alignment horizontal="right" vertical="center"/>
    </xf>
    <xf numFmtId="4" fontId="5" fillId="0" borderId="1" pivotButton="0" quotePrefix="0" xfId="7"/>
    <xf numFmtId="4" fontId="13" fillId="0" borderId="1" pivotButton="0" quotePrefix="0" xfId="0"/>
    <xf numFmtId="164" fontId="5" fillId="0" borderId="1" applyAlignment="1" pivotButton="0" quotePrefix="0" xfId="7">
      <alignment horizontal="center"/>
    </xf>
    <xf numFmtId="4" fontId="7" fillId="0" borderId="1" applyAlignment="1" pivotButton="0" quotePrefix="0" xfId="0">
      <alignment horizontal="right" vertical="center"/>
    </xf>
    <xf numFmtId="4" fontId="5" fillId="0" borderId="1" applyAlignment="1" pivotButton="0" quotePrefix="0" xfId="4">
      <alignment horizontal="center"/>
    </xf>
    <xf numFmtId="3" fontId="5" fillId="0" borderId="1" applyAlignment="1" pivotButton="0" quotePrefix="0" xfId="1">
      <alignment horizontal="center"/>
    </xf>
    <xf numFmtId="0" fontId="26" fillId="0" borderId="0" pivotButton="0" quotePrefix="0" xfId="0"/>
    <xf numFmtId="0" fontId="27" fillId="0" borderId="0" pivotButton="0" quotePrefix="0" xfId="0"/>
    <xf numFmtId="4" fontId="1" fillId="0" borderId="3" pivotButton="0" quotePrefix="0" xfId="0"/>
    <xf numFmtId="4" fontId="1" fillId="0" borderId="0" pivotButton="0" quotePrefix="0" xfId="0"/>
    <xf numFmtId="4" fontId="1" fillId="0" borderId="1" pivotButton="0" quotePrefix="0" xfId="0"/>
    <xf numFmtId="3" fontId="1" fillId="0" borderId="1" pivotButton="0" quotePrefix="0" xfId="0"/>
    <xf numFmtId="4" fontId="1" fillId="0" borderId="1" applyAlignment="1" pivotButton="0" quotePrefix="0" xfId="0">
      <alignment horizontal="center"/>
    </xf>
    <xf numFmtId="9" fontId="5" fillId="3" borderId="8" applyAlignment="1" pivotButton="0" quotePrefix="0" xfId="3">
      <alignment horizontal="center"/>
    </xf>
    <xf numFmtId="9" fontId="5" fillId="0" borderId="8" applyAlignment="1" pivotButton="0" quotePrefix="0" xfId="3">
      <alignment horizontal="center"/>
    </xf>
    <xf numFmtId="9" fontId="5" fillId="0" borderId="23" applyAlignment="1" pivotButton="0" quotePrefix="0" xfId="3">
      <alignment horizontal="center"/>
    </xf>
    <xf numFmtId="164" fontId="1" fillId="0" borderId="1" pivotButton="0" quotePrefix="0" xfId="0"/>
    <xf numFmtId="0" fontId="1" fillId="0" borderId="1" pivotButton="0" quotePrefix="0" xfId="0"/>
    <xf numFmtId="0" fontId="9" fillId="0" borderId="0" pivotButton="0" quotePrefix="0" xfId="0"/>
    <xf numFmtId="14" fontId="9" fillId="0" borderId="0" pivotButton="0" quotePrefix="0" xfId="0"/>
    <xf numFmtId="164" fontId="9" fillId="0" borderId="0" pivotButton="0" quotePrefix="0" xfId="0"/>
    <xf numFmtId="4" fontId="5" fillId="0" borderId="1" applyAlignment="1" pivotButton="0" quotePrefix="0" xfId="7">
      <alignment horizontal="center"/>
    </xf>
    <xf numFmtId="4" fontId="7" fillId="0" borderId="1" pivotButton="0" quotePrefix="0" xfId="1"/>
    <xf numFmtId="9" fontId="5" fillId="0" borderId="1" applyAlignment="1" pivotButton="0" quotePrefix="0" xfId="3">
      <alignment horizontal="center"/>
    </xf>
    <xf numFmtId="4" fontId="5" fillId="0" borderId="1" applyAlignment="1" pivotButton="0" quotePrefix="0" xfId="4">
      <alignment horizontal="right" vertical="center"/>
    </xf>
    <xf numFmtId="3" fontId="7" fillId="0" borderId="1" applyAlignment="1" pivotButton="0" quotePrefix="0" xfId="1">
      <alignment horizontal="center" wrapText="1"/>
    </xf>
    <xf numFmtId="10" fontId="7" fillId="0" borderId="1" applyAlignment="1" pivotButton="0" quotePrefix="0" xfId="1">
      <alignment horizontal="center" wrapText="1"/>
    </xf>
    <xf numFmtId="9" fontId="5" fillId="3" borderId="1" applyAlignment="1" pivotButton="0" quotePrefix="0" xfId="3">
      <alignment horizontal="center"/>
    </xf>
    <xf numFmtId="0" fontId="0" fillId="0" borderId="6" pivotButton="0" quotePrefix="0" xfId="0"/>
    <xf numFmtId="0" fontId="5" fillId="2" borderId="0" applyAlignment="1" pivotButton="0" quotePrefix="0" xfId="1">
      <alignment horizontal="left"/>
    </xf>
    <xf numFmtId="0" fontId="5" fillId="2" borderId="0" pivotButton="0" quotePrefix="0" xfId="1"/>
    <xf numFmtId="167" fontId="0" fillId="0" borderId="0" pivotButton="0" quotePrefix="0" xfId="0"/>
    <xf numFmtId="17" fontId="0" fillId="0" borderId="0" pivotButton="0" quotePrefix="0" xfId="0"/>
    <xf numFmtId="168" fontId="5" fillId="3" borderId="1" applyAlignment="1" pivotButton="0" quotePrefix="0" xfId="3">
      <alignment horizontal="center"/>
    </xf>
    <xf numFmtId="4" fontId="7" fillId="0" borderId="1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 vertical="center" wrapText="1"/>
    </xf>
    <xf numFmtId="164" fontId="7" fillId="0" borderId="9" applyAlignment="1" pivotButton="0" quotePrefix="0" xfId="1">
      <alignment horizontal="center" vertical="center" wrapText="1"/>
    </xf>
    <xf numFmtId="169" fontId="29" fillId="0" borderId="0" applyAlignment="1" pivotButton="0" quotePrefix="0" xfId="13">
      <alignment horizontal="right"/>
    </xf>
    <xf numFmtId="0" fontId="6" fillId="2" borderId="1" applyAlignment="1" pivotButton="0" quotePrefix="0" xfId="1">
      <alignment horizontal="center" wrapText="1"/>
    </xf>
    <xf numFmtId="0" fontId="5" fillId="2" borderId="8" applyAlignment="1" pivotButton="0" quotePrefix="0" xfId="1">
      <alignment horizontal="right"/>
    </xf>
    <xf numFmtId="0" fontId="0" fillId="36" borderId="0" pivotButton="0" quotePrefix="0" xfId="0"/>
    <xf numFmtId="0" fontId="0" fillId="37" borderId="25" pivotButton="0" quotePrefix="0" xfId="0"/>
    <xf numFmtId="0" fontId="0" fillId="37" borderId="26" pivotButton="0" quotePrefix="0" xfId="0"/>
    <xf numFmtId="0" fontId="0" fillId="37" borderId="27" pivotButton="0" quotePrefix="0" xfId="0"/>
    <xf numFmtId="0" fontId="0" fillId="38" borderId="0" pivotButton="0" quotePrefix="0" xfId="0"/>
    <xf numFmtId="0" fontId="0" fillId="39" borderId="0" pivotButton="0" quotePrefix="0" xfId="0"/>
    <xf numFmtId="0" fontId="29" fillId="0" borderId="0" applyAlignment="1" pivotButton="0" quotePrefix="0" xfId="13">
      <alignment horizontal="right"/>
    </xf>
    <xf numFmtId="0" fontId="0" fillId="3" borderId="0" pivotButton="0" quotePrefix="0" xfId="0"/>
    <xf numFmtId="167" fontId="0" fillId="36" borderId="0" pivotButton="0" quotePrefix="0" xfId="0"/>
    <xf numFmtId="4" fontId="5" fillId="2" borderId="8" applyAlignment="1" pivotButton="0" quotePrefix="0" xfId="1">
      <alignment horizontal="right"/>
    </xf>
    <xf numFmtId="0" fontId="6" fillId="2" borderId="31" applyAlignment="1" pivotButton="0" quotePrefix="0" xfId="1">
      <alignment horizontal="center" wrapText="1"/>
    </xf>
    <xf numFmtId="10" fontId="7" fillId="0" borderId="34" applyAlignment="1" pivotButton="0" quotePrefix="0" xfId="1">
      <alignment horizontal="left" wrapText="1"/>
    </xf>
    <xf numFmtId="165" fontId="7" fillId="0" borderId="34" applyAlignment="1" pivotButton="0" quotePrefix="0" xfId="1">
      <alignment horizontal="left" wrapText="1"/>
    </xf>
    <xf numFmtId="10" fontId="7" fillId="0" borderId="34" applyAlignment="1" pivotButton="0" quotePrefix="0" xfId="1">
      <alignment horizontal="center" wrapText="1"/>
    </xf>
    <xf numFmtId="4" fontId="5" fillId="0" borderId="3" applyAlignment="1" pivotButton="0" quotePrefix="0" xfId="4">
      <alignment horizontal="center"/>
    </xf>
    <xf numFmtId="3" fontId="5" fillId="0" borderId="3" applyAlignment="1" pivotButton="0" quotePrefix="0" xfId="1">
      <alignment horizontal="center"/>
    </xf>
    <xf numFmtId="4" fontId="5" fillId="0" borderId="3" applyAlignment="1" pivotButton="0" quotePrefix="0" xfId="7">
      <alignment horizontal="center"/>
    </xf>
    <xf numFmtId="10" fontId="7" fillId="0" borderId="3" applyAlignment="1" pivotButton="0" quotePrefix="0" xfId="1">
      <alignment horizontal="left" wrapText="1"/>
    </xf>
    <xf numFmtId="165" fontId="7" fillId="0" borderId="3" applyAlignment="1" pivotButton="0" quotePrefix="0" xfId="1">
      <alignment horizontal="left" wrapText="1"/>
    </xf>
    <xf numFmtId="10" fontId="7" fillId="0" borderId="3" applyAlignment="1" pivotButton="0" quotePrefix="0" xfId="1">
      <alignment horizontal="center" wrapText="1"/>
    </xf>
    <xf numFmtId="4" fontId="1" fillId="0" borderId="30" pivotButton="0" quotePrefix="0" xfId="0"/>
    <xf numFmtId="4" fontId="5" fillId="0" borderId="30" pivotButton="0" quotePrefix="0" xfId="7"/>
    <xf numFmtId="3" fontId="5" fillId="0" borderId="30" pivotButton="0" quotePrefix="0" xfId="1"/>
    <xf numFmtId="10" fontId="7" fillId="0" borderId="30" applyAlignment="1" pivotButton="0" quotePrefix="0" xfId="1">
      <alignment horizontal="left" wrapText="1"/>
    </xf>
    <xf numFmtId="165" fontId="7" fillId="0" borderId="30" applyAlignment="1" pivotButton="0" quotePrefix="0" xfId="1">
      <alignment horizontal="left" wrapText="1"/>
    </xf>
    <xf numFmtId="10" fontId="7" fillId="0" borderId="30" applyAlignment="1" pivotButton="0" quotePrefix="0" xfId="1">
      <alignment horizontal="center" wrapText="1"/>
    </xf>
    <xf numFmtId="4" fontId="1" fillId="0" borderId="37" pivotButton="0" quotePrefix="0" xfId="0"/>
    <xf numFmtId="4" fontId="1" fillId="0" borderId="38" pivotButton="0" quotePrefix="0" xfId="0"/>
    <xf numFmtId="4" fontId="1" fillId="0" borderId="34" pivotButton="0" quotePrefix="0" xfId="0"/>
    <xf numFmtId="4" fontId="5" fillId="0" borderId="34" pivotButton="0" quotePrefix="0" xfId="7"/>
    <xf numFmtId="3" fontId="5" fillId="0" borderId="34" pivotButton="0" quotePrefix="0" xfId="1"/>
    <xf numFmtId="4" fontId="1" fillId="0" borderId="35" pivotButton="0" quotePrefix="0" xfId="0"/>
    <xf numFmtId="164" fontId="7" fillId="0" borderId="40" applyAlignment="1" pivotButton="0" quotePrefix="0" xfId="1">
      <alignment horizontal="center" vertical="center" wrapText="1"/>
    </xf>
    <xf numFmtId="4" fontId="7" fillId="0" borderId="7" pivotButton="0" quotePrefix="0" xfId="1"/>
    <xf numFmtId="3" fontId="7" fillId="0" borderId="7" applyAlignment="1" pivotButton="0" quotePrefix="0" xfId="1">
      <alignment horizontal="center" wrapText="1"/>
    </xf>
    <xf numFmtId="10" fontId="7" fillId="0" borderId="7" applyAlignment="1" pivotButton="0" quotePrefix="0" xfId="1">
      <alignment horizontal="left" wrapText="1"/>
    </xf>
    <xf numFmtId="165" fontId="7" fillId="0" borderId="7" applyAlignment="1" pivotButton="0" quotePrefix="0" xfId="1">
      <alignment horizontal="left" wrapText="1"/>
    </xf>
    <xf numFmtId="10" fontId="7" fillId="0" borderId="7" applyAlignment="1" pivotButton="0" quotePrefix="0" xfId="1">
      <alignment horizontal="center" wrapText="1"/>
    </xf>
    <xf numFmtId="4" fontId="7" fillId="0" borderId="41" applyAlignment="1" pivotButton="0" quotePrefix="0" xfId="0">
      <alignment horizontal="right" vertical="center"/>
    </xf>
    <xf numFmtId="4" fontId="7" fillId="0" borderId="42" applyAlignment="1" pivotButton="0" quotePrefix="0" xfId="0">
      <alignment horizontal="center" vertical="center"/>
    </xf>
    <xf numFmtId="4" fontId="5" fillId="0" borderId="23" applyAlignment="1" pivotButton="0" quotePrefix="0" xfId="4">
      <alignment horizontal="center"/>
    </xf>
    <xf numFmtId="4" fontId="1" fillId="0" borderId="36" pivotButton="0" quotePrefix="0" xfId="0"/>
    <xf numFmtId="4" fontId="1" fillId="0" borderId="8" pivotButton="0" quotePrefix="0" xfId="0"/>
    <xf numFmtId="4" fontId="1" fillId="0" borderId="39" pivotButton="0" quotePrefix="0" xfId="0"/>
    <xf numFmtId="4" fontId="7" fillId="0" borderId="40" applyAlignment="1" pivotButton="0" quotePrefix="0" xfId="0">
      <alignment horizontal="right" vertical="center"/>
    </xf>
    <xf numFmtId="3" fontId="5" fillId="0" borderId="21" applyAlignment="1" pivotButton="0" quotePrefix="0" xfId="1">
      <alignment horizontal="center"/>
    </xf>
    <xf numFmtId="3" fontId="1" fillId="0" borderId="43" pivotButton="0" quotePrefix="0" xfId="0"/>
    <xf numFmtId="3" fontId="1" fillId="0" borderId="9" pivotButton="0" quotePrefix="0" xfId="0"/>
    <xf numFmtId="3" fontId="1" fillId="0" borderId="33" pivotButton="0" quotePrefix="0" xfId="0"/>
    <xf numFmtId="9" fontId="5" fillId="3" borderId="24" applyAlignment="1" pivotButton="0" quotePrefix="0" xfId="3">
      <alignment horizontal="center"/>
    </xf>
    <xf numFmtId="9" fontId="5" fillId="0" borderId="28" applyAlignment="1" pivotButton="0" quotePrefix="0" xfId="3">
      <alignment horizontal="center"/>
    </xf>
    <xf numFmtId="9" fontId="5" fillId="0" borderId="25" applyAlignment="1" pivotButton="0" quotePrefix="0" xfId="3">
      <alignment horizontal="center"/>
    </xf>
    <xf numFmtId="9" fontId="5" fillId="0" borderId="26" applyAlignment="1" pivotButton="0" quotePrefix="0" xfId="3">
      <alignment horizontal="center"/>
    </xf>
    <xf numFmtId="9" fontId="5" fillId="0" borderId="27" applyAlignment="1" pivotButton="0" quotePrefix="0" xfId="3">
      <alignment horizontal="center"/>
    </xf>
    <xf numFmtId="4" fontId="5" fillId="2" borderId="44" applyAlignment="1" pivotButton="0" quotePrefix="0" xfId="1">
      <alignment horizontal="right"/>
    </xf>
    <xf numFmtId="4" fontId="5" fillId="2" borderId="45" applyAlignment="1" pivotButton="0" quotePrefix="0" xfId="1">
      <alignment horizontal="right"/>
    </xf>
    <xf numFmtId="4" fontId="5" fillId="2" borderId="46" applyAlignment="1" pivotButton="0" quotePrefix="0" xfId="1">
      <alignment horizontal="right"/>
    </xf>
    <xf numFmtId="0" fontId="7" fillId="2" borderId="26" pivotButton="0" quotePrefix="0" xfId="1"/>
    <xf numFmtId="0" fontId="7" fillId="2" borderId="27" pivotButton="0" quotePrefix="0" xfId="1"/>
    <xf numFmtId="9" fontId="5" fillId="0" borderId="47" applyAlignment="1" pivotButton="0" quotePrefix="0" xfId="3">
      <alignment horizontal="center"/>
    </xf>
    <xf numFmtId="9" fontId="5" fillId="0" borderId="48" applyAlignment="1" pivotButton="0" quotePrefix="0" xfId="3">
      <alignment horizontal="center"/>
    </xf>
    <xf numFmtId="9" fontId="5" fillId="0" borderId="49" applyAlignment="1" pivotButton="0" quotePrefix="0" xfId="3">
      <alignment horizontal="center"/>
    </xf>
    <xf numFmtId="3" fontId="1" fillId="0" borderId="50" pivotButton="0" quotePrefix="0" xfId="0"/>
    <xf numFmtId="3" fontId="1" fillId="0" borderId="51" pivotButton="0" quotePrefix="0" xfId="0"/>
    <xf numFmtId="3" fontId="1" fillId="0" borderId="52" pivotButton="0" quotePrefix="0" xfId="0"/>
    <xf numFmtId="10" fontId="7" fillId="0" borderId="36" applyAlignment="1" pivotButton="0" quotePrefix="0" xfId="1">
      <alignment horizontal="left" wrapText="1"/>
    </xf>
    <xf numFmtId="10" fontId="7" fillId="0" borderId="8" applyAlignment="1" pivotButton="0" quotePrefix="0" xfId="1">
      <alignment horizontal="left" wrapText="1"/>
    </xf>
    <xf numFmtId="10" fontId="7" fillId="0" borderId="39" applyAlignment="1" pivotButton="0" quotePrefix="0" xfId="1">
      <alignment horizontal="left" wrapText="1"/>
    </xf>
    <xf numFmtId="10" fontId="7" fillId="0" borderId="43" applyAlignment="1" pivotButton="0" quotePrefix="0" xfId="1">
      <alignment horizontal="center" wrapText="1"/>
    </xf>
    <xf numFmtId="10" fontId="7" fillId="0" borderId="9" applyAlignment="1" pivotButton="0" quotePrefix="0" xfId="1">
      <alignment horizontal="center" wrapText="1"/>
    </xf>
    <xf numFmtId="10" fontId="7" fillId="0" borderId="33" applyAlignment="1" pivotButton="0" quotePrefix="0" xfId="1">
      <alignment horizontal="center" wrapText="1"/>
    </xf>
    <xf numFmtId="165" fontId="7" fillId="0" borderId="25" applyAlignment="1" pivotButton="0" quotePrefix="0" xfId="1">
      <alignment horizontal="left" wrapText="1"/>
    </xf>
    <xf numFmtId="165" fontId="7" fillId="0" borderId="26" applyAlignment="1" pivotButton="0" quotePrefix="0" xfId="1">
      <alignment horizontal="left" wrapText="1"/>
    </xf>
    <xf numFmtId="165" fontId="7" fillId="0" borderId="27" applyAlignment="1" pivotButton="0" quotePrefix="0" xfId="1">
      <alignment horizontal="left" wrapText="1"/>
    </xf>
    <xf numFmtId="0" fontId="6" fillId="2" borderId="53" applyAlignment="1" pivotButton="0" quotePrefix="0" xfId="1">
      <alignment horizontal="center" wrapText="1"/>
    </xf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9" fontId="7" fillId="0" borderId="1" applyAlignment="1" pivotButton="0" quotePrefix="0" xfId="1">
      <alignment horizontal="center" wrapText="1"/>
    </xf>
    <xf numFmtId="9" fontId="7" fillId="0" borderId="30" applyAlignment="1" pivotButton="0" quotePrefix="0" xfId="1">
      <alignment horizontal="center" wrapText="1"/>
    </xf>
    <xf numFmtId="9" fontId="7" fillId="0" borderId="34" applyAlignment="1" pivotButton="0" quotePrefix="0" xfId="1">
      <alignment horizontal="center" wrapText="1"/>
    </xf>
    <xf numFmtId="2" fontId="7" fillId="0" borderId="42" applyAlignment="1" pivotButton="0" quotePrefix="0" xfId="1">
      <alignment horizontal="right" wrapText="1"/>
    </xf>
    <xf numFmtId="2" fontId="7" fillId="0" borderId="3" applyAlignment="1" pivotButton="0" quotePrefix="0" xfId="1">
      <alignment horizontal="right" wrapText="1"/>
    </xf>
    <xf numFmtId="2" fontId="7" fillId="0" borderId="1" applyAlignment="1" pivotButton="0" quotePrefix="0" xfId="1">
      <alignment horizontal="right" wrapText="1"/>
    </xf>
    <xf numFmtId="2" fontId="7" fillId="0" borderId="34" applyAlignment="1" pivotButton="0" quotePrefix="0" xfId="1">
      <alignment horizontal="right" wrapText="1"/>
    </xf>
    <xf numFmtId="0" fontId="1" fillId="0" borderId="54" pivotButton="0" quotePrefix="0" xfId="0"/>
    <xf numFmtId="2" fontId="12" fillId="0" borderId="54" pivotButton="0" quotePrefix="0" xfId="0"/>
    <xf numFmtId="165" fontId="7" fillId="0" borderId="5" applyAlignment="1" pivotButton="0" quotePrefix="0" xfId="1">
      <alignment horizontal="left" wrapText="1"/>
    </xf>
    <xf numFmtId="0" fontId="1" fillId="2" borderId="54" pivotButton="0" quotePrefix="0" xfId="0"/>
    <xf numFmtId="4" fontId="1" fillId="2" borderId="8" pivotButton="0" quotePrefix="0" xfId="0"/>
    <xf numFmtId="4" fontId="1" fillId="2" borderId="39" pivotButton="0" quotePrefix="0" xfId="0"/>
    <xf numFmtId="4" fontId="1" fillId="2" borderId="54" pivotButton="0" quotePrefix="0" xfId="0"/>
    <xf numFmtId="4" fontId="1" fillId="0" borderId="54" pivotButton="0" quotePrefix="0" xfId="0"/>
    <xf numFmtId="0" fontId="7" fillId="2" borderId="48" pivotButton="0" quotePrefix="0" xfId="1"/>
    <xf numFmtId="0" fontId="7" fillId="2" borderId="49" pivotButton="0" quotePrefix="0" xfId="1"/>
    <xf numFmtId="4" fontId="1" fillId="2" borderId="1" pivotButton="0" quotePrefix="0" xfId="0"/>
    <xf numFmtId="4" fontId="1" fillId="2" borderId="34" pivotButton="0" quotePrefix="0" xfId="0"/>
    <xf numFmtId="9" fontId="5" fillId="40" borderId="48" applyAlignment="1" pivotButton="0" quotePrefix="0" xfId="3">
      <alignment horizontal="center"/>
    </xf>
    <xf numFmtId="0" fontId="7" fillId="2" borderId="55" pivotButton="0" quotePrefix="0" xfId="1"/>
    <xf numFmtId="4" fontId="1" fillId="2" borderId="22" pivotButton="0" quotePrefix="0" xfId="0"/>
    <xf numFmtId="4" fontId="1" fillId="0" borderId="22" pivotButton="0" quotePrefix="0" xfId="0"/>
    <xf numFmtId="4" fontId="1" fillId="0" borderId="56" pivotButton="0" quotePrefix="0" xfId="0"/>
    <xf numFmtId="9" fontId="5" fillId="0" borderId="55" applyAlignment="1" pivotButton="0" quotePrefix="0" xfId="3">
      <alignment horizontal="center"/>
    </xf>
    <xf numFmtId="3" fontId="1" fillId="0" borderId="57" pivotButton="0" quotePrefix="0" xfId="0"/>
    <xf numFmtId="4" fontId="5" fillId="0" borderId="22" pivotButton="0" quotePrefix="0" xfId="7"/>
    <xf numFmtId="3" fontId="5" fillId="0" borderId="22" pivotButton="0" quotePrefix="0" xfId="1"/>
    <xf numFmtId="10" fontId="7" fillId="0" borderId="56" applyAlignment="1" pivotButton="0" quotePrefix="0" xfId="1">
      <alignment horizontal="left" wrapText="1"/>
    </xf>
    <xf numFmtId="165" fontId="7" fillId="0" borderId="22" applyAlignment="1" pivotButton="0" quotePrefix="0" xfId="1">
      <alignment horizontal="left" wrapText="1"/>
    </xf>
    <xf numFmtId="10" fontId="7" fillId="0" borderId="58" applyAlignment="1" pivotButton="0" quotePrefix="0" xfId="1">
      <alignment horizontal="center" wrapText="1"/>
    </xf>
    <xf numFmtId="2" fontId="7" fillId="0" borderId="22" applyAlignment="1" pivotButton="0" quotePrefix="0" xfId="1">
      <alignment horizontal="right" wrapText="1"/>
    </xf>
    <xf numFmtId="10" fontId="7" fillId="0" borderId="22" applyAlignment="1" pivotButton="0" quotePrefix="0" xfId="1">
      <alignment horizontal="center" wrapText="1"/>
    </xf>
    <xf numFmtId="4" fontId="1" fillId="0" borderId="59" pivotButton="0" quotePrefix="0" xfId="0"/>
    <xf numFmtId="9" fontId="5" fillId="3" borderId="24" applyAlignment="1" pivotButton="0" quotePrefix="0" xfId="3">
      <alignment horizontal="center" vertical="center"/>
    </xf>
    <xf numFmtId="4" fontId="7" fillId="0" borderId="7" applyAlignment="1" pivotButton="0" quotePrefix="0" xfId="1">
      <alignment vertical="center"/>
    </xf>
    <xf numFmtId="3" fontId="7" fillId="0" borderId="7" applyAlignment="1" pivotButton="0" quotePrefix="0" xfId="1">
      <alignment horizontal="center" vertical="center" wrapText="1"/>
    </xf>
    <xf numFmtId="10" fontId="7" fillId="0" borderId="7" applyAlignment="1" pivotButton="0" quotePrefix="0" xfId="1">
      <alignment horizontal="left" vertical="center" wrapText="1"/>
    </xf>
    <xf numFmtId="165" fontId="7" fillId="0" borderId="7" applyAlignment="1" pivotButton="0" quotePrefix="0" xfId="1">
      <alignment horizontal="left" vertical="center" wrapText="1"/>
    </xf>
    <xf numFmtId="10" fontId="7" fillId="0" borderId="7" applyAlignment="1" pivotButton="0" quotePrefix="0" xfId="1">
      <alignment horizontal="center" vertical="center" wrapText="1"/>
    </xf>
    <xf numFmtId="2" fontId="7" fillId="0" borderId="42" applyAlignment="1" pivotButton="0" quotePrefix="0" xfId="1">
      <alignment horizontal="right" vertical="center" wrapText="1"/>
    </xf>
    <xf numFmtId="4" fontId="1" fillId="3" borderId="1" pivotButton="0" quotePrefix="0" xfId="0"/>
    <xf numFmtId="4" fontId="1" fillId="3" borderId="8" pivotButton="0" quotePrefix="0" xfId="0"/>
    <xf numFmtId="9" fontId="5" fillId="3" borderId="48" applyAlignment="1" pivotButton="0" quotePrefix="0" xfId="3">
      <alignment horizontal="center"/>
    </xf>
    <xf numFmtId="3" fontId="1" fillId="3" borderId="51" pivotButton="0" quotePrefix="0" xfId="0"/>
    <xf numFmtId="4" fontId="5" fillId="3" borderId="1" pivotButton="0" quotePrefix="0" xfId="7"/>
    <xf numFmtId="3" fontId="5" fillId="3" borderId="1" pivotButton="0" quotePrefix="0" xfId="1"/>
    <xf numFmtId="10" fontId="7" fillId="3" borderId="8" applyAlignment="1" pivotButton="0" quotePrefix="0" xfId="1">
      <alignment horizontal="left" wrapText="1"/>
    </xf>
    <xf numFmtId="165" fontId="7" fillId="3" borderId="1" applyAlignment="1" pivotButton="0" quotePrefix="0" xfId="1">
      <alignment horizontal="left" wrapText="1"/>
    </xf>
    <xf numFmtId="10" fontId="7" fillId="3" borderId="9" applyAlignment="1" pivotButton="0" quotePrefix="0" xfId="1">
      <alignment horizontal="center" wrapText="1"/>
    </xf>
    <xf numFmtId="2" fontId="7" fillId="3" borderId="1" applyAlignment="1" pivotButton="0" quotePrefix="0" xfId="1">
      <alignment horizontal="right" wrapText="1"/>
    </xf>
    <xf numFmtId="10" fontId="7" fillId="3" borderId="1" applyAlignment="1" pivotButton="0" quotePrefix="0" xfId="1">
      <alignment horizontal="center" wrapText="1"/>
    </xf>
    <xf numFmtId="4" fontId="1" fillId="3" borderId="38" pivotButton="0" quotePrefix="0" xfId="0"/>
    <xf numFmtId="14" fontId="7" fillId="2" borderId="31" applyAlignment="1" pivotButton="0" quotePrefix="0" xfId="1">
      <alignment horizontal="center"/>
    </xf>
    <xf numFmtId="2" fontId="7" fillId="0" borderId="30" applyAlignment="1" pivotButton="0" quotePrefix="0" xfId="1">
      <alignment horizontal="right" wrapText="1"/>
    </xf>
    <xf numFmtId="4" fontId="0" fillId="0" borderId="0" pivotButton="0" quotePrefix="0" xfId="0"/>
    <xf numFmtId="1" fontId="7" fillId="0" borderId="42" applyAlignment="1" pivotButton="0" quotePrefix="0" xfId="1">
      <alignment horizontal="right" vertical="center" wrapText="1"/>
    </xf>
    <xf numFmtId="1" fontId="7" fillId="0" borderId="3" applyAlignment="1" pivotButton="0" quotePrefix="0" xfId="1">
      <alignment horizontal="right" wrapText="1"/>
    </xf>
    <xf numFmtId="1" fontId="7" fillId="0" borderId="30" applyAlignment="1" pivotButton="0" quotePrefix="0" xfId="1">
      <alignment horizontal="right" wrapText="1"/>
    </xf>
    <xf numFmtId="1" fontId="7" fillId="0" borderId="1" applyAlignment="1" pivotButton="0" quotePrefix="0" xfId="1">
      <alignment horizontal="right" wrapText="1"/>
    </xf>
    <xf numFmtId="1" fontId="7" fillId="0" borderId="34" applyAlignment="1" pivotButton="0" quotePrefix="0" xfId="1">
      <alignment horizontal="right" wrapText="1"/>
    </xf>
    <xf numFmtId="4" fontId="7" fillId="0" borderId="42" applyAlignment="1" pivotButton="0" quotePrefix="0" xfId="1">
      <alignment horizontal="right" vertical="center" wrapText="1"/>
    </xf>
    <xf numFmtId="4" fontId="7" fillId="0" borderId="3" applyAlignment="1" pivotButton="0" quotePrefix="0" xfId="1">
      <alignment horizontal="right" wrapText="1"/>
    </xf>
    <xf numFmtId="4" fontId="7" fillId="0" borderId="30" applyAlignment="1" pivotButton="0" quotePrefix="0" xfId="1">
      <alignment horizontal="right" wrapText="1"/>
    </xf>
    <xf numFmtId="4" fontId="7" fillId="0" borderId="1" applyAlignment="1" pivotButton="0" quotePrefix="0" xfId="1">
      <alignment horizontal="right" wrapText="1"/>
    </xf>
    <xf numFmtId="4" fontId="7" fillId="0" borderId="34" applyAlignment="1" pivotButton="0" quotePrefix="0" xfId="1">
      <alignment horizontal="right" wrapText="1"/>
    </xf>
    <xf numFmtId="4" fontId="7" fillId="0" borderId="7" applyAlignment="1" pivotButton="0" quotePrefix="0" xfId="1">
      <alignment horizontal="right" vertical="center" wrapText="1"/>
    </xf>
    <xf numFmtId="0" fontId="7" fillId="2" borderId="31" applyAlignment="1" pivotButton="0" quotePrefix="0" xfId="1">
      <alignment horizontal="center"/>
    </xf>
    <xf numFmtId="0" fontId="7" fillId="0" borderId="48" pivotButton="0" quotePrefix="0" xfId="1"/>
    <xf numFmtId="4" fontId="5" fillId="0" borderId="0" applyAlignment="1" pivotButton="0" quotePrefix="0" xfId="4">
      <alignment horizontal="center"/>
    </xf>
    <xf numFmtId="0" fontId="7" fillId="2" borderId="31" applyAlignment="1" pivotButton="0" quotePrefix="0" xfId="1">
      <alignment horizontal="center" wrapText="1"/>
    </xf>
    <xf numFmtId="4" fontId="1" fillId="0" borderId="32" pivotButton="0" quotePrefix="0" xfId="0"/>
    <xf numFmtId="4" fontId="1" fillId="0" borderId="31" pivotButton="0" quotePrefix="0" xfId="0"/>
    <xf numFmtId="4" fontId="5" fillId="0" borderId="31" pivotButton="0" quotePrefix="0" xfId="7"/>
    <xf numFmtId="4" fontId="7" fillId="0" borderId="41" applyAlignment="1" pivotButton="0" quotePrefix="0" xfId="1">
      <alignment horizontal="right" vertical="center" wrapText="1"/>
    </xf>
    <xf numFmtId="4" fontId="5" fillId="0" borderId="3" pivotButton="0" quotePrefix="0" xfId="7"/>
    <xf numFmtId="4" fontId="5" fillId="0" borderId="30" applyAlignment="1" pivotButton="0" quotePrefix="0" xfId="1">
      <alignment horizontal="right" wrapText="1"/>
    </xf>
    <xf numFmtId="4" fontId="5" fillId="0" borderId="1" applyAlignment="1" pivotButton="0" quotePrefix="0" xfId="1">
      <alignment horizontal="right" wrapText="1"/>
    </xf>
    <xf numFmtId="4" fontId="5" fillId="0" borderId="34" applyAlignment="1" pivotButton="0" quotePrefix="0" xfId="1">
      <alignment horizontal="right" wrapText="1"/>
    </xf>
    <xf numFmtId="3" fontId="7" fillId="0" borderId="40" applyAlignment="1" pivotButton="0" quotePrefix="0" xfId="0">
      <alignment horizontal="right" vertical="center"/>
    </xf>
    <xf numFmtId="9" fontId="5" fillId="0" borderId="60" applyAlignment="1" pivotButton="0" quotePrefix="0" xfId="3">
      <alignment horizontal="center"/>
    </xf>
    <xf numFmtId="9" fontId="5" fillId="0" borderId="61" applyAlignment="1" pivotButton="0" quotePrefix="0" xfId="3">
      <alignment horizontal="center"/>
    </xf>
    <xf numFmtId="9" fontId="5" fillId="0" borderId="5" applyAlignment="1" pivotButton="0" quotePrefix="0" xfId="3">
      <alignment horizontal="center"/>
    </xf>
    <xf numFmtId="9" fontId="5" fillId="0" borderId="62" applyAlignment="1" pivotButton="0" quotePrefix="0" xfId="3">
      <alignment horizontal="center"/>
    </xf>
    <xf numFmtId="4" fontId="1" fillId="0" borderId="63" pivotButton="0" quotePrefix="0" xfId="0"/>
    <xf numFmtId="4" fontId="1" fillId="41" borderId="30" pivotButton="0" quotePrefix="0" xfId="0"/>
    <xf numFmtId="4" fontId="1" fillId="41" borderId="8" pivotButton="0" quotePrefix="0" xfId="0"/>
    <xf numFmtId="4" fontId="7" fillId="41" borderId="42" applyAlignment="1" pivotButton="0" quotePrefix="0" xfId="0">
      <alignment horizontal="center" vertical="center"/>
    </xf>
    <xf numFmtId="0" fontId="7" fillId="41" borderId="31" applyAlignment="1" pivotButton="0" quotePrefix="0" xfId="1">
      <alignment horizontal="center"/>
    </xf>
    <xf numFmtId="0" fontId="12" fillId="2" borderId="32" pivotButton="0" quotePrefix="0" xfId="0"/>
    <xf numFmtId="3" fontId="1" fillId="0" borderId="8" pivotButton="0" quotePrefix="0" xfId="0"/>
    <xf numFmtId="4" fontId="1" fillId="2" borderId="6" pivotButton="0" quotePrefix="0" xfId="0"/>
    <xf numFmtId="9" fontId="5" fillId="0" borderId="64" applyAlignment="1" pivotButton="0" quotePrefix="0" xfId="3">
      <alignment horizontal="center"/>
    </xf>
    <xf numFmtId="3" fontId="1" fillId="0" borderId="58" pivotButton="0" quotePrefix="0" xfId="0"/>
    <xf numFmtId="10" fontId="7" fillId="0" borderId="22" applyAlignment="1" pivotButton="0" quotePrefix="0" xfId="1">
      <alignment horizontal="left" wrapText="1"/>
    </xf>
    <xf numFmtId="165" fontId="7" fillId="0" borderId="6" applyAlignment="1" pivotButton="0" quotePrefix="0" xfId="1">
      <alignment horizontal="left" wrapText="1"/>
    </xf>
    <xf numFmtId="4" fontId="5" fillId="0" borderId="22" applyAlignment="1" pivotButton="0" quotePrefix="0" xfId="1">
      <alignment horizontal="right" wrapText="1"/>
    </xf>
    <xf numFmtId="4" fontId="1" fillId="0" borderId="65" pivotButton="0" quotePrefix="0" xfId="0"/>
    <xf numFmtId="4" fontId="5" fillId="0" borderId="38" applyAlignment="1" pivotButton="0" quotePrefix="0" xfId="1">
      <alignment horizontal="right" wrapText="1"/>
    </xf>
    <xf numFmtId="3" fontId="1" fillId="0" borderId="39" pivotButton="0" quotePrefix="0" xfId="0"/>
    <xf numFmtId="4" fontId="5" fillId="0" borderId="35" applyAlignment="1" pivotButton="0" quotePrefix="0" xfId="1">
      <alignment horizontal="right" wrapText="1"/>
    </xf>
    <xf numFmtId="4" fontId="1" fillId="2" borderId="30" pivotButton="0" quotePrefix="0" xfId="0"/>
    <xf numFmtId="3" fontId="1" fillId="0" borderId="36" pivotButton="0" quotePrefix="0" xfId="0"/>
    <xf numFmtId="4" fontId="5" fillId="0" borderId="37" applyAlignment="1" pivotButton="0" quotePrefix="0" xfId="1">
      <alignment horizontal="right" wrapText="1"/>
    </xf>
    <xf numFmtId="9" fontId="5" fillId="0" borderId="44" applyAlignment="1" pivotButton="0" quotePrefix="0" xfId="3">
      <alignment horizontal="center"/>
    </xf>
    <xf numFmtId="9" fontId="5" fillId="0" borderId="45" applyAlignment="1" pivotButton="0" quotePrefix="0" xfId="3">
      <alignment horizontal="center"/>
    </xf>
    <xf numFmtId="9" fontId="5" fillId="0" borderId="46" applyAlignment="1" pivotButton="0" quotePrefix="0" xfId="3">
      <alignment horizontal="center"/>
    </xf>
    <xf numFmtId="0" fontId="7" fillId="2" borderId="53" applyAlignment="1" pivotButton="0" quotePrefix="0" xfId="1">
      <alignment horizontal="center" wrapText="1"/>
    </xf>
    <xf numFmtId="14" fontId="7" fillId="2" borderId="66" applyAlignment="1" pivotButton="0" quotePrefix="0" xfId="1">
      <alignment horizontal="center"/>
    </xf>
    <xf numFmtId="0" fontId="7" fillId="2" borderId="67" applyAlignment="1" pivotButton="0" quotePrefix="0" xfId="1">
      <alignment horizontal="center" wrapText="1"/>
    </xf>
    <xf numFmtId="0" fontId="7" fillId="2" borderId="7" applyAlignment="1" pivotButton="0" quotePrefix="0" xfId="1">
      <alignment horizontal="center" wrapText="1"/>
    </xf>
    <xf numFmtId="0" fontId="7" fillId="2" borderId="41" applyAlignment="1" pivotButton="0" quotePrefix="0" xfId="1">
      <alignment horizontal="center"/>
    </xf>
    <xf numFmtId="4" fontId="1" fillId="0" borderId="1" applyAlignment="1" pivotButton="0" quotePrefix="0" xfId="0">
      <alignment horizontal="right"/>
    </xf>
    <xf numFmtId="2" fontId="0" fillId="0" borderId="0" pivotButton="0" quotePrefix="0" xfId="0"/>
    <xf numFmtId="2" fontId="1" fillId="0" borderId="1" pivotButton="0" quotePrefix="0" xfId="0"/>
    <xf numFmtId="0" fontId="12" fillId="0" borderId="1" pivotButton="0" quotePrefix="0" xfId="0"/>
    <xf numFmtId="164" fontId="7" fillId="0" borderId="66" applyAlignment="1" pivotButton="0" quotePrefix="0" xfId="1">
      <alignment horizontal="center" vertical="center" wrapText="1"/>
    </xf>
    <xf numFmtId="9" fontId="5" fillId="3" borderId="4" applyAlignment="1" pivotButton="0" quotePrefix="0" xfId="3">
      <alignment horizontal="center" vertical="center"/>
    </xf>
    <xf numFmtId="3" fontId="7" fillId="0" borderId="66" applyAlignment="1" pivotButton="0" quotePrefix="0" xfId="0">
      <alignment horizontal="right" vertical="center"/>
    </xf>
    <xf numFmtId="4" fontId="7" fillId="0" borderId="31" applyAlignment="1" pivotButton="0" quotePrefix="0" xfId="1">
      <alignment vertical="center"/>
    </xf>
    <xf numFmtId="3" fontId="7" fillId="0" borderId="31" applyAlignment="1" pivotButton="0" quotePrefix="0" xfId="1">
      <alignment horizontal="center" vertical="center" wrapText="1"/>
    </xf>
    <xf numFmtId="10" fontId="7" fillId="0" borderId="31" applyAlignment="1" pivotButton="0" quotePrefix="0" xfId="1">
      <alignment horizontal="left" vertical="center" wrapText="1"/>
    </xf>
    <xf numFmtId="165" fontId="7" fillId="0" borderId="31" applyAlignment="1" pivotButton="0" quotePrefix="0" xfId="1">
      <alignment horizontal="left" vertical="center" wrapText="1"/>
    </xf>
    <xf numFmtId="10" fontId="7" fillId="0" borderId="31" applyAlignment="1" pivotButton="0" quotePrefix="0" xfId="1">
      <alignment horizontal="center" vertical="center" wrapText="1"/>
    </xf>
    <xf numFmtId="4" fontId="7" fillId="0" borderId="31" applyAlignment="1" pivotButton="0" quotePrefix="0" xfId="1">
      <alignment horizontal="right" vertical="center" wrapText="1"/>
    </xf>
    <xf numFmtId="4" fontId="7" fillId="0" borderId="53" applyAlignment="1" pivotButton="0" quotePrefix="0" xfId="1">
      <alignment horizontal="right" vertical="center" wrapText="1"/>
    </xf>
    <xf numFmtId="4" fontId="7" fillId="0" borderId="32" applyAlignment="1" pivotButton="0" quotePrefix="0" xfId="1">
      <alignment horizontal="right" vertical="center" wrapText="1"/>
    </xf>
    <xf numFmtId="4" fontId="0" fillId="0" borderId="1" pivotButton="0" quotePrefix="0" xfId="0"/>
    <xf numFmtId="0" fontId="0" fillId="0" borderId="1" pivotButton="0" quotePrefix="0" xfId="0"/>
    <xf numFmtId="2" fontId="0" fillId="0" borderId="1" pivotButton="0" quotePrefix="0" xfId="0"/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right"/>
    </xf>
    <xf numFmtId="0" fontId="0" fillId="0" borderId="23" pivotButton="0" quotePrefix="0" xfId="0"/>
    <xf numFmtId="4" fontId="0" fillId="0" borderId="30" pivotButton="0" quotePrefix="0" xfId="0"/>
    <xf numFmtId="0" fontId="0" fillId="0" borderId="30" pivotButton="0" quotePrefix="0" xfId="0"/>
    <xf numFmtId="0" fontId="0" fillId="0" borderId="37" pivotButton="0" quotePrefix="0" xfId="0"/>
    <xf numFmtId="0" fontId="0" fillId="0" borderId="38" pivotButton="0" quotePrefix="0" xfId="0"/>
    <xf numFmtId="4" fontId="0" fillId="0" borderId="38" pivotButton="0" quotePrefix="0" xfId="0"/>
    <xf numFmtId="4" fontId="0" fillId="0" borderId="34" pivotButton="0" quotePrefix="0" xfId="0"/>
    <xf numFmtId="0" fontId="0" fillId="0" borderId="34" pivotButton="0" quotePrefix="0" xfId="0"/>
    <xf numFmtId="4" fontId="0" fillId="0" borderId="35" pivotButton="0" quotePrefix="0" xfId="0"/>
    <xf numFmtId="9" fontId="5" fillId="3" borderId="29" applyAlignment="1" pivotButton="0" quotePrefix="0" xfId="3">
      <alignment horizontal="center" vertical="center"/>
    </xf>
    <xf numFmtId="3" fontId="7" fillId="0" borderId="50" applyAlignment="1" pivotButton="0" quotePrefix="0" xfId="0">
      <alignment horizontal="right" vertical="center"/>
    </xf>
    <xf numFmtId="4" fontId="7" fillId="0" borderId="30" applyAlignment="1" pivotButton="0" quotePrefix="0" xfId="1">
      <alignment vertical="center"/>
    </xf>
    <xf numFmtId="3" fontId="7" fillId="0" borderId="30" applyAlignment="1" pivotButton="0" quotePrefix="0" xfId="1">
      <alignment horizontal="center" vertical="center" wrapText="1"/>
    </xf>
    <xf numFmtId="10" fontId="7" fillId="0" borderId="30" applyAlignment="1" pivotButton="0" quotePrefix="0" xfId="1">
      <alignment horizontal="left" vertical="center" wrapText="1"/>
    </xf>
    <xf numFmtId="165" fontId="7" fillId="0" borderId="30" applyAlignment="1" pivotButton="0" quotePrefix="0" xfId="1">
      <alignment horizontal="left" vertical="center" wrapText="1"/>
    </xf>
    <xf numFmtId="10" fontId="7" fillId="0" borderId="30" applyAlignment="1" pivotButton="0" quotePrefix="0" xfId="1">
      <alignment horizontal="center" vertical="center" wrapText="1"/>
    </xf>
    <xf numFmtId="4" fontId="7" fillId="0" borderId="30" applyAlignment="1" pivotButton="0" quotePrefix="0" xfId="1">
      <alignment horizontal="right" vertical="center" wrapText="1"/>
    </xf>
    <xf numFmtId="4" fontId="0" fillId="0" borderId="37" pivotButton="0" quotePrefix="0" xfId="0"/>
    <xf numFmtId="0" fontId="0" fillId="0" borderId="51" pivotButton="0" quotePrefix="0" xfId="0"/>
    <xf numFmtId="0" fontId="0" fillId="0" borderId="52" pivotButton="0" quotePrefix="0" xfId="0"/>
    <xf numFmtId="9" fontId="5" fillId="0" borderId="50" applyAlignment="1" pivotButton="0" quotePrefix="0" xfId="3">
      <alignment horizontal="center"/>
    </xf>
    <xf numFmtId="9" fontId="5" fillId="0" borderId="30" applyAlignment="1" pivotButton="0" quotePrefix="0" xfId="3">
      <alignment horizontal="center"/>
    </xf>
    <xf numFmtId="9" fontId="5" fillId="0" borderId="37" applyAlignment="1" pivotButton="0" quotePrefix="0" xfId="3">
      <alignment horizontal="center"/>
    </xf>
    <xf numFmtId="9" fontId="5" fillId="0" borderId="51" applyAlignment="1" pivotButton="0" quotePrefix="0" xfId="3">
      <alignment horizontal="center"/>
    </xf>
    <xf numFmtId="9" fontId="5" fillId="0" borderId="38" applyAlignment="1" pivotButton="0" quotePrefix="0" xfId="3">
      <alignment horizontal="center"/>
    </xf>
    <xf numFmtId="9" fontId="5" fillId="0" borderId="52" applyAlignment="1" pivotButton="0" quotePrefix="0" xfId="3">
      <alignment horizontal="center"/>
    </xf>
    <xf numFmtId="9" fontId="5" fillId="0" borderId="34" applyAlignment="1" pivotButton="0" quotePrefix="0" xfId="3">
      <alignment horizontal="center"/>
    </xf>
    <xf numFmtId="9" fontId="5" fillId="0" borderId="35" applyAlignment="1" pivotButton="0" quotePrefix="0" xfId="3">
      <alignment horizontal="center"/>
    </xf>
    <xf numFmtId="4" fontId="0" fillId="0" borderId="43" pivotButton="0" quotePrefix="0" xfId="0"/>
    <xf numFmtId="4" fontId="0" fillId="0" borderId="9" pivotButton="0" quotePrefix="0" xfId="0"/>
    <xf numFmtId="4" fontId="0" fillId="0" borderId="9" applyAlignment="1" pivotButton="0" quotePrefix="0" xfId="0">
      <alignment horizontal="right"/>
    </xf>
    <xf numFmtId="4" fontId="0" fillId="0" borderId="33" pivotButton="0" quotePrefix="0" xfId="0"/>
    <xf numFmtId="0" fontId="6" fillId="2" borderId="66" applyAlignment="1" pivotButton="0" quotePrefix="0" xfId="1">
      <alignment horizontal="center" wrapText="1"/>
    </xf>
    <xf numFmtId="9" fontId="5" fillId="0" borderId="43" applyAlignment="1" pivotButton="0" quotePrefix="0" xfId="3">
      <alignment horizontal="center"/>
    </xf>
    <xf numFmtId="9" fontId="5" fillId="0" borderId="9" applyAlignment="1" pivotButton="0" quotePrefix="0" xfId="3">
      <alignment horizontal="center"/>
    </xf>
    <xf numFmtId="9" fontId="5" fillId="0" borderId="33" applyAlignment="1" pivotButton="0" quotePrefix="0" xfId="3">
      <alignment horizontal="center"/>
    </xf>
    <xf numFmtId="9" fontId="5" fillId="0" borderId="36" applyAlignment="1" pivotButton="0" quotePrefix="0" xfId="3">
      <alignment horizontal="center"/>
    </xf>
    <xf numFmtId="9" fontId="5" fillId="0" borderId="39" applyAlignment="1" pivotButton="0" quotePrefix="0" xfId="3">
      <alignment horizontal="center"/>
    </xf>
    <xf numFmtId="4" fontId="12" fillId="0" borderId="37" pivotButton="0" quotePrefix="0" xfId="0"/>
    <xf numFmtId="9" fontId="5" fillId="3" borderId="68" applyAlignment="1" pivotButton="0" quotePrefix="0" xfId="3">
      <alignment horizontal="center" vertical="center"/>
    </xf>
    <xf numFmtId="9" fontId="5" fillId="0" borderId="69" applyAlignment="1" pivotButton="0" quotePrefix="0" xfId="3">
      <alignment horizontal="center"/>
    </xf>
    <xf numFmtId="9" fontId="5" fillId="0" borderId="70" applyAlignment="1" pivotButton="0" quotePrefix="0" xfId="3">
      <alignment horizontal="center"/>
    </xf>
    <xf numFmtId="9" fontId="5" fillId="0" borderId="71" applyAlignment="1" pivotButton="0" quotePrefix="0" xfId="3">
      <alignment horizontal="center"/>
    </xf>
    <xf numFmtId="164" fontId="7" fillId="0" borderId="72" applyAlignment="1" pivotButton="0" quotePrefix="0" xfId="1">
      <alignment horizontal="center" vertical="center" wrapText="1"/>
    </xf>
    <xf numFmtId="4" fontId="0" fillId="0" borderId="73" pivotButton="0" quotePrefix="0" xfId="0"/>
    <xf numFmtId="0" fontId="7" fillId="2" borderId="77" applyAlignment="1" pivotButton="0" quotePrefix="0" xfId="1">
      <alignment horizontal="center"/>
    </xf>
    <xf numFmtId="9" fontId="5" fillId="3" borderId="78" applyAlignment="1" pivotButton="0" quotePrefix="0" xfId="3">
      <alignment horizontal="center" vertical="center"/>
    </xf>
    <xf numFmtId="0" fontId="0" fillId="0" borderId="79" pivotButton="0" quotePrefix="0" xfId="0"/>
    <xf numFmtId="4" fontId="0" fillId="0" borderId="70" pivotButton="0" quotePrefix="0" xfId="0"/>
    <xf numFmtId="4" fontId="12" fillId="0" borderId="69" pivotButton="0" quotePrefix="0" xfId="0"/>
    <xf numFmtId="14" fontId="7" fillId="2" borderId="81" applyAlignment="1" pivotButton="0" quotePrefix="0" xfId="1">
      <alignment horizontal="center"/>
    </xf>
    <xf numFmtId="0" fontId="7" fillId="2" borderId="3" applyAlignment="1" pivotButton="0" quotePrefix="0" xfId="1">
      <alignment horizontal="center" wrapText="1"/>
    </xf>
    <xf numFmtId="0" fontId="6" fillId="2" borderId="3" applyAlignment="1" pivotButton="0" quotePrefix="0" xfId="1">
      <alignment horizontal="center" wrapText="1"/>
    </xf>
    <xf numFmtId="0" fontId="6" fillId="2" borderId="23" applyAlignment="1" pivotButton="0" quotePrefix="0" xfId="1">
      <alignment horizontal="center" wrapText="1"/>
    </xf>
    <xf numFmtId="0" fontId="12" fillId="2" borderId="77" pivotButton="0" quotePrefix="0" xfId="0"/>
    <xf numFmtId="0" fontId="7" fillId="3" borderId="0" pivotButton="0" quotePrefix="0" xfId="7"/>
    <xf numFmtId="164" fontId="7" fillId="0" borderId="21" applyAlignment="1" pivotButton="0" quotePrefix="0" xfId="1">
      <alignment horizontal="center" vertical="center" wrapText="1"/>
    </xf>
    <xf numFmtId="9" fontId="5" fillId="3" borderId="84" applyAlignment="1" pivotButton="0" quotePrefix="0" xfId="3">
      <alignment horizontal="center" vertical="center"/>
    </xf>
    <xf numFmtId="4" fontId="0" fillId="0" borderId="52" pivotButton="0" quotePrefix="0" xfId="0"/>
    <xf numFmtId="4" fontId="0" fillId="0" borderId="85" pivotButton="0" quotePrefix="0" xfId="0"/>
    <xf numFmtId="4" fontId="0" fillId="0" borderId="86" pivotButton="0" quotePrefix="0" xfId="0"/>
    <xf numFmtId="0" fontId="0" fillId="0" borderId="86" pivotButton="0" quotePrefix="0" xfId="0"/>
    <xf numFmtId="4" fontId="0" fillId="0" borderId="71" pivotButton="0" quotePrefix="0" xfId="0"/>
    <xf numFmtId="0" fontId="7" fillId="2" borderId="6" applyAlignment="1" pivotButton="0" quotePrefix="0" xfId="1">
      <alignment horizontal="center" wrapText="1"/>
    </xf>
    <xf numFmtId="0" fontId="6" fillId="2" borderId="88" applyAlignment="1" pivotButton="0" quotePrefix="0" xfId="1">
      <alignment horizontal="center" wrapText="1"/>
    </xf>
    <xf numFmtId="0" fontId="7" fillId="2" borderId="87" applyAlignment="1" pivotButton="0" quotePrefix="0" xfId="1">
      <alignment horizontal="center" wrapText="1"/>
    </xf>
    <xf numFmtId="0" fontId="7" fillId="42" borderId="3" applyAlignment="1" pivotButton="0" quotePrefix="0" xfId="1">
      <alignment horizontal="center"/>
    </xf>
    <xf numFmtId="0" fontId="6" fillId="43" borderId="21" applyAlignment="1" pivotButton="0" quotePrefix="0" xfId="1">
      <alignment horizontal="center" wrapText="1"/>
    </xf>
    <xf numFmtId="0" fontId="12" fillId="0" borderId="89" pivotButton="0" quotePrefix="0" xfId="0"/>
    <xf numFmtId="2" fontId="0" fillId="0" borderId="90" pivotButton="0" quotePrefix="0" xfId="0"/>
    <xf numFmtId="4" fontId="5" fillId="0" borderId="79" applyAlignment="1" pivotButton="0" quotePrefix="0" xfId="1">
      <alignment horizontal="right" wrapText="1"/>
    </xf>
    <xf numFmtId="2" fontId="1" fillId="0" borderId="70" pivotButton="0" quotePrefix="0" xfId="0"/>
    <xf numFmtId="0" fontId="0" fillId="0" borderId="91" pivotButton="0" quotePrefix="0" xfId="0"/>
    <xf numFmtId="2" fontId="1" fillId="0" borderId="74" pivotButton="0" quotePrefix="0" xfId="0"/>
    <xf numFmtId="2" fontId="0" fillId="0" borderId="92" pivotButton="0" quotePrefix="0" xfId="0"/>
    <xf numFmtId="0" fontId="0" fillId="0" borderId="93" pivotButton="0" quotePrefix="0" xfId="0"/>
    <xf numFmtId="0" fontId="1" fillId="0" borderId="0" pivotButton="0" quotePrefix="0" xfId="0"/>
    <xf numFmtId="164" fontId="9" fillId="0" borderId="1" pivotButton="0" quotePrefix="0" xfId="0"/>
    <xf numFmtId="14" fontId="9" fillId="0" borderId="1" pivotButton="0" quotePrefix="0" xfId="0"/>
    <xf numFmtId="0" fontId="9" fillId="0" borderId="1" pivotButton="0" quotePrefix="0" xfId="0"/>
    <xf numFmtId="164" fontId="9" fillId="0" borderId="6" pivotButton="0" quotePrefix="0" xfId="0"/>
    <xf numFmtId="14" fontId="9" fillId="0" borderId="6" pivotButton="0" quotePrefix="0" xfId="0"/>
    <xf numFmtId="0" fontId="9" fillId="0" borderId="6" pivotButton="0" quotePrefix="0" xfId="0"/>
    <xf numFmtId="164" fontId="7" fillId="0" borderId="24" applyAlignment="1" pivotButton="0" quotePrefix="0" xfId="1">
      <alignment horizontal="left" wrapText="1"/>
    </xf>
    <xf numFmtId="167" fontId="3" fillId="0" borderId="0" pivotButton="0" quotePrefix="0" xfId="7"/>
    <xf numFmtId="10" fontId="3" fillId="3" borderId="28" applyAlignment="1" pivotButton="0" quotePrefix="0" xfId="10">
      <alignment horizontal="center"/>
    </xf>
    <xf numFmtId="0" fontId="5" fillId="0" borderId="29" pivotButton="0" quotePrefix="0" xfId="1"/>
    <xf numFmtId="0" fontId="12" fillId="0" borderId="32" pivotButton="0" quotePrefix="0" xfId="0"/>
    <xf numFmtId="0" fontId="7" fillId="0" borderId="28" applyAlignment="1" pivotButton="0" quotePrefix="0" xfId="1">
      <alignment horizontal="left"/>
    </xf>
    <xf numFmtId="0" fontId="7" fillId="0" borderId="0" applyAlignment="1" pivotButton="0" quotePrefix="0" xfId="1">
      <alignment horizontal="left"/>
    </xf>
    <xf numFmtId="0" fontId="7" fillId="2" borderId="25" applyAlignment="1" pivotButton="0" quotePrefix="0" xfId="1">
      <alignment horizontal="left"/>
    </xf>
    <xf numFmtId="0" fontId="7" fillId="2" borderId="26" applyAlignment="1" pivotButton="0" quotePrefix="0" xfId="1">
      <alignment horizontal="left"/>
    </xf>
    <xf numFmtId="0" fontId="14" fillId="0" borderId="0" applyAlignment="1" pivotButton="0" quotePrefix="0" xfId="0">
      <alignment wrapText="1"/>
    </xf>
    <xf numFmtId="0" fontId="7" fillId="2" borderId="47" applyAlignment="1" pivotButton="0" quotePrefix="0" xfId="1">
      <alignment horizontal="left"/>
    </xf>
    <xf numFmtId="0" fontId="7" fillId="2" borderId="48" applyAlignment="1" pivotButton="0" quotePrefix="0" xfId="1">
      <alignment horizontal="left"/>
    </xf>
    <xf numFmtId="0" fontId="7" fillId="3" borderId="48" applyAlignment="1" pivotButton="0" quotePrefix="0" xfId="1">
      <alignment horizontal="left"/>
    </xf>
    <xf numFmtId="0" fontId="7" fillId="0" borderId="48" applyAlignment="1" pivotButton="0" quotePrefix="0" xfId="1">
      <alignment horizontal="left"/>
    </xf>
    <xf numFmtId="0" fontId="7" fillId="0" borderId="4" pivotButton="0" quotePrefix="0" xfId="7"/>
    <xf numFmtId="10" fontId="3" fillId="0" borderId="28" applyAlignment="1" pivotButton="0" quotePrefix="0" xfId="10">
      <alignment horizontal="center"/>
    </xf>
    <xf numFmtId="0" fontId="5" fillId="0" borderId="24" pivotButton="0" quotePrefix="0" xfId="1"/>
    <xf numFmtId="164" fontId="7" fillId="0" borderId="4" applyAlignment="1" pivotButton="0" quotePrefix="0" xfId="1">
      <alignment horizontal="left" wrapText="1"/>
    </xf>
    <xf numFmtId="0" fontId="7" fillId="2" borderId="25" pivotButton="0" quotePrefix="0" xfId="1"/>
    <xf numFmtId="0" fontId="7" fillId="0" borderId="0" pivotButton="0" quotePrefix="0" xfId="7"/>
    <xf numFmtId="0" fontId="3" fillId="0" borderId="75" pivotButton="0" quotePrefix="0" xfId="1"/>
    <xf numFmtId="10" fontId="3" fillId="3" borderId="76" applyAlignment="1" pivotButton="0" quotePrefix="0" xfId="10">
      <alignment horizontal="center"/>
    </xf>
    <xf numFmtId="0" fontId="3" fillId="0" borderId="80" pivotButton="0" quotePrefix="0" xfId="1"/>
    <xf numFmtId="10" fontId="3" fillId="0" borderId="75" applyAlignment="1" pivotButton="0" quotePrefix="0" xfId="10">
      <alignment horizontal="center"/>
    </xf>
    <xf numFmtId="10" fontId="3" fillId="3" borderId="0" applyAlignment="1" pivotButton="0" quotePrefix="0" xfId="10">
      <alignment horizontal="center"/>
    </xf>
    <xf numFmtId="14" fontId="3" fillId="0" borderId="83" pivotButton="0" quotePrefix="0" xfId="1"/>
    <xf numFmtId="0" fontId="9" fillId="0" borderId="75" pivotButton="0" quotePrefix="0" xfId="0"/>
    <xf numFmtId="0" fontId="5" fillId="0" borderId="82" pivotButton="0" quotePrefix="0" xfId="1"/>
    <xf numFmtId="0" fontId="3" fillId="0" borderId="94" pivotButton="0" quotePrefix="0" xfId="1"/>
    <xf numFmtId="10" fontId="3" fillId="0" borderId="0" applyAlignment="1" pivotButton="0" quotePrefix="0" xfId="10">
      <alignment horizontal="center"/>
    </xf>
    <xf numFmtId="14" fontId="3" fillId="0" borderId="23" pivotButton="0" quotePrefix="0" xfId="1"/>
    <xf numFmtId="0" fontId="5" fillId="0" borderId="1" pivotButton="0" quotePrefix="0" xfId="1"/>
    <xf numFmtId="0" fontId="7" fillId="42" borderId="1" applyAlignment="1" pivotButton="0" quotePrefix="0" xfId="1">
      <alignment horizontal="center"/>
    </xf>
    <xf numFmtId="0" fontId="6" fillId="43" borderId="1" applyAlignment="1" pivotButton="0" quotePrefix="0" xfId="1">
      <alignment horizontal="center" wrapText="1"/>
    </xf>
    <xf numFmtId="0" fontId="7" fillId="2" borderId="1" applyAlignment="1" pivotButton="0" quotePrefix="0" xfId="1">
      <alignment horizontal="center"/>
    </xf>
    <xf numFmtId="0" fontId="7" fillId="2" borderId="1" applyAlignment="1" pivotButton="0" quotePrefix="0" xfId="1">
      <alignment horizontal="center" wrapText="1"/>
    </xf>
    <xf numFmtId="14" fontId="7" fillId="2" borderId="1" applyAlignment="1" pivotButton="0" quotePrefix="0" xfId="1">
      <alignment horizontal="center"/>
    </xf>
    <xf numFmtId="0" fontId="12" fillId="2" borderId="1" pivotButton="0" quotePrefix="0" xfId="0"/>
    <xf numFmtId="9" fontId="5" fillId="3" borderId="1" applyAlignment="1" pivotButton="0" quotePrefix="0" xfId="3">
      <alignment horizontal="center" vertical="center"/>
    </xf>
    <xf numFmtId="3" fontId="7" fillId="0" borderId="1" applyAlignment="1" pivotButton="0" quotePrefix="0" xfId="0">
      <alignment horizontal="right" vertical="center"/>
    </xf>
    <xf numFmtId="4" fontId="7" fillId="0" borderId="1" applyAlignment="1" pivotButton="0" quotePrefix="0" xfId="1">
      <alignment vertical="center"/>
    </xf>
    <xf numFmtId="3" fontId="7" fillId="0" borderId="1" applyAlignment="1" pivotButton="0" quotePrefix="0" xfId="1">
      <alignment horizontal="center" vertical="center" wrapText="1"/>
    </xf>
    <xf numFmtId="10" fontId="7" fillId="0" borderId="1" applyAlignment="1" pivotButton="0" quotePrefix="0" xfId="1">
      <alignment horizontal="left" vertical="center" wrapText="1"/>
    </xf>
    <xf numFmtId="165" fontId="7" fillId="0" borderId="1" applyAlignment="1" pivotButton="0" quotePrefix="0" xfId="1">
      <alignment horizontal="left" vertical="center" wrapText="1"/>
    </xf>
    <xf numFmtId="1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right" vertical="center" wrapText="1"/>
    </xf>
    <xf numFmtId="4" fontId="12" fillId="0" borderId="1" pivotButton="0" quotePrefix="0" xfId="0"/>
    <xf numFmtId="0" fontId="7" fillId="2" borderId="1" applyAlignment="1" pivotButton="0" quotePrefix="0" xfId="1">
      <alignment horizontal="left"/>
    </xf>
    <xf numFmtId="0" fontId="0" fillId="0" borderId="95" pivotButton="0" quotePrefix="0" xfId="0"/>
    <xf numFmtId="0" fontId="0" fillId="0" borderId="9" pivotButton="0" quotePrefix="0" xfId="0"/>
    <xf numFmtId="0" fontId="0" fillId="0" borderId="96" pivotButton="0" quotePrefix="0" xfId="0"/>
    <xf numFmtId="0" fontId="0" fillId="0" borderId="90" pivotButton="0" quotePrefix="0" xfId="0"/>
    <xf numFmtId="0" fontId="0" fillId="0" borderId="97" pivotButton="0" quotePrefix="0" xfId="0"/>
    <xf numFmtId="0" fontId="0" fillId="0" borderId="98" pivotButton="0" quotePrefix="0" xfId="0"/>
    <xf numFmtId="9" fontId="5" fillId="0" borderId="1" applyAlignment="1" pivotButton="0" quotePrefix="0" xfId="3">
      <alignment horizontal="center" vertical="center"/>
    </xf>
    <xf numFmtId="0" fontId="12" fillId="3" borderId="1" pivotButton="0" quotePrefix="0" xfId="0"/>
    <xf numFmtId="14" fontId="7" fillId="3" borderId="1" applyAlignment="1" pivotButton="0" quotePrefix="0" xfId="1">
      <alignment horizontal="center"/>
    </xf>
    <xf numFmtId="4" fontId="7" fillId="0" borderId="1" applyAlignment="1" pivotButton="0" quotePrefix="0" xfId="1">
      <alignment horizontal="center" vertical="center" wrapText="1"/>
    </xf>
    <xf numFmtId="4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right" vertical="center"/>
    </xf>
    <xf numFmtId="1" fontId="3" fillId="0" borderId="0" pivotButton="0" quotePrefix="0" xfId="7"/>
    <xf numFmtId="1" fontId="3" fillId="0" borderId="23" pivotButton="0" quotePrefix="0" xfId="1"/>
    <xf numFmtId="1" fontId="7" fillId="0" borderId="1" applyAlignment="1" pivotButton="0" quotePrefix="0" xfId="0">
      <alignment horizontal="right" vertical="center"/>
    </xf>
    <xf numFmtId="1" fontId="0" fillId="0" borderId="1" pivotButton="0" quotePrefix="0" xfId="0"/>
    <xf numFmtId="1" fontId="9" fillId="0" borderId="0" pivotButton="0" quotePrefix="0" xfId="0"/>
    <xf numFmtId="1" fontId="0" fillId="0" borderId="0" pivotButton="0" quotePrefix="0" xfId="0"/>
    <xf numFmtId="1" fontId="7" fillId="2" borderId="1" applyAlignment="1" pivotButton="0" quotePrefix="0" xfId="1">
      <alignment horizontal="center"/>
    </xf>
    <xf numFmtId="4" fontId="7" fillId="0" borderId="2" applyAlignment="1" pivotButton="0" quotePrefix="0" xfId="1">
      <alignment horizontal="center" vertical="center" wrapText="1"/>
    </xf>
    <xf numFmtId="4" fontId="0" fillId="0" borderId="8" pivotButton="0" quotePrefix="0" xfId="0"/>
    <xf numFmtId="9" fontId="5" fillId="0" borderId="9" applyAlignment="1" pivotButton="0" quotePrefix="0" xfId="3">
      <alignment horizontal="center" vertical="center"/>
    </xf>
    <xf numFmtId="164" fontId="7" fillId="0" borderId="2" applyAlignment="1" pivotButton="0" quotePrefix="0" xfId="1">
      <alignment horizontal="center" vertical="center" wrapText="1"/>
    </xf>
    <xf numFmtId="0" fontId="7" fillId="0" borderId="1" applyAlignment="1" pivotButton="0" quotePrefix="0" xfId="1">
      <alignment horizontal="left"/>
    </xf>
    <xf numFmtId="0" fontId="7" fillId="0" borderId="1" pivotButton="0" quotePrefix="0" xfId="1"/>
    <xf numFmtId="0" fontId="6" fillId="41" borderId="1" applyAlignment="1" pivotButton="0" quotePrefix="0" xfId="1">
      <alignment horizontal="center" wrapText="1"/>
    </xf>
    <xf numFmtId="9" fontId="5" fillId="3" borderId="2" applyAlignment="1" pivotButton="0" quotePrefix="0" xfId="3">
      <alignment horizontal="center" vertical="center"/>
    </xf>
    <xf numFmtId="0" fontId="7" fillId="0" borderId="1" applyAlignment="1" pivotButton="0" quotePrefix="0" xfId="1">
      <alignment horizontal="center" vertical="center" wrapText="1"/>
    </xf>
    <xf numFmtId="4" fontId="7" fillId="0" borderId="1" applyAlignment="1" pivotButton="0" quotePrefix="0" xfId="1">
      <alignment horizontal="center" vertical="center"/>
    </xf>
    <xf numFmtId="165" fontId="7" fillId="0" borderId="1" applyAlignment="1" pivotButton="0" quotePrefix="0" xfId="1">
      <alignment horizontal="center" vertical="center" wrapText="1"/>
    </xf>
    <xf numFmtId="0" fontId="0" fillId="0" borderId="1" applyAlignment="1" pivotButton="0" quotePrefix="0" xfId="0">
      <alignment horizontal="center"/>
    </xf>
    <xf numFmtId="165" fontId="7" fillId="0" borderId="1" applyAlignment="1" pivotButton="0" quotePrefix="0" xfId="1">
      <alignment horizontal="center" wrapText="1"/>
    </xf>
    <xf numFmtId="0" fontId="30" fillId="2" borderId="1" applyAlignment="1" pivotButton="0" quotePrefix="0" xfId="1">
      <alignment horizontal="center" wrapText="1"/>
    </xf>
    <xf numFmtId="4" fontId="7" fillId="0" borderId="1" applyAlignment="1" pivotButton="0" quotePrefix="0" xfId="1">
      <alignment horizontal="center" wrapText="1"/>
    </xf>
    <xf numFmtId="1" fontId="7" fillId="0" borderId="1" applyAlignment="1" pivotButton="0" quotePrefix="0" xfId="0">
      <alignment horizontal="center" vertical="center"/>
    </xf>
    <xf numFmtId="4" fontId="12" fillId="0" borderId="1" applyAlignment="1" pivotButton="0" quotePrefix="0" xfId="0">
      <alignment horizontal="center"/>
    </xf>
    <xf numFmtId="1" fontId="14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2" fontId="0" fillId="0" borderId="1" applyAlignment="1" pivotButton="0" quotePrefix="0" xfId="0">
      <alignment horizontal="center"/>
    </xf>
    <xf numFmtId="4" fontId="5" fillId="0" borderId="1" applyAlignment="1" pivotButton="0" quotePrefix="0" xfId="1">
      <alignment horizontal="center" wrapText="1"/>
    </xf>
    <xf numFmtId="0" fontId="1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1" fontId="15" fillId="0" borderId="0" applyAlignment="1" pivotButton="0" quotePrefix="0" xfId="0">
      <alignment horizontal="center"/>
    </xf>
    <xf numFmtId="4" fontId="44" fillId="0" borderId="1" applyAlignment="1" pivotButton="0" quotePrefix="0" xfId="0">
      <alignment horizontal="center"/>
    </xf>
    <xf numFmtId="0" fontId="44" fillId="0" borderId="1" applyAlignment="1" pivotButton="0" quotePrefix="0" xfId="0">
      <alignment horizontal="center"/>
    </xf>
    <xf numFmtId="164" fontId="7" fillId="0" borderId="1" applyAlignment="1" pivotButton="0" quotePrefix="0" xfId="1">
      <alignment horizontal="center" wrapText="1"/>
    </xf>
    <xf numFmtId="0" fontId="7" fillId="0" borderId="1" applyAlignment="1" pivotButton="0" quotePrefix="0" xfId="1">
      <alignment horizontal="center"/>
    </xf>
    <xf numFmtId="0" fontId="7" fillId="3" borderId="1" applyAlignment="1" pivotButton="0" quotePrefix="0" xfId="1">
      <alignment horizontal="center"/>
    </xf>
    <xf numFmtId="4" fontId="5" fillId="0" borderId="1" applyAlignment="1" pivotButton="0" quotePrefix="0" xfId="3">
      <alignment horizontal="center"/>
    </xf>
    <xf numFmtId="4" fontId="5" fillId="0" borderId="1" applyAlignment="1" pivotButton="0" quotePrefix="0" xfId="3">
      <alignment horizontal="center" vertical="center"/>
    </xf>
    <xf numFmtId="10" fontId="7" fillId="0" borderId="2" applyAlignment="1" pivotButton="0" quotePrefix="0" xfId="1">
      <alignment horizontal="center" vertical="center" wrapText="1"/>
    </xf>
    <xf numFmtId="4" fontId="7" fillId="0" borderId="2" applyAlignment="1" pivotButton="0" quotePrefix="0" xfId="1">
      <alignment horizontal="center" vertical="center"/>
    </xf>
    <xf numFmtId="4" fontId="12" fillId="0" borderId="2" applyAlignment="1" pivotButton="0" quotePrefix="0" xfId="0">
      <alignment horizontal="center"/>
    </xf>
    <xf numFmtId="0" fontId="7" fillId="0" borderId="2" applyAlignment="1" pivotButton="0" quotePrefix="0" xfId="1">
      <alignment horizontal="center" vertical="center" wrapText="1"/>
    </xf>
    <xf numFmtId="165" fontId="7" fillId="0" borderId="2" applyAlignment="1" pivotButton="0" quotePrefix="0" xfId="1">
      <alignment horizontal="center" vertical="center" wrapText="1"/>
    </xf>
    <xf numFmtId="1" fontId="7" fillId="0" borderId="2" applyAlignment="1" pivotButton="0" quotePrefix="0" xfId="0">
      <alignment horizontal="center" vertical="center"/>
    </xf>
    <xf numFmtId="3" fontId="7" fillId="0" borderId="2" applyAlignment="1" pivotButton="0" quotePrefix="0" xfId="1">
      <alignment horizontal="center" vertical="center" wrapText="1"/>
    </xf>
    <xf numFmtId="9" fontId="5" fillId="36" borderId="2" applyAlignment="1" pivotButton="0" quotePrefix="0" xfId="3">
      <alignment horizontal="center" vertical="center"/>
    </xf>
    <xf numFmtId="9" fontId="5" fillId="36" borderId="1" applyAlignment="1" pivotButton="0" quotePrefix="0" xfId="3">
      <alignment horizontal="center" vertical="center"/>
    </xf>
    <xf numFmtId="9" fontId="5" fillId="36" borderId="99" applyAlignment="1" pivotButton="0" quotePrefix="0" xfId="3">
      <alignment horizontal="center" vertical="center"/>
    </xf>
    <xf numFmtId="10" fontId="7" fillId="0" borderId="99" applyAlignment="1" pivotButton="0" quotePrefix="0" xfId="1">
      <alignment horizontal="center" vertical="center" wrapText="1"/>
    </xf>
    <xf numFmtId="0" fontId="0" fillId="0" borderId="100" pivotButton="0" quotePrefix="0" xfId="0"/>
    <xf numFmtId="168" fontId="5" fillId="3" borderId="1" applyAlignment="1" pivotButton="0" quotePrefix="0" xfId="3">
      <alignment horizontal="center"/>
    </xf>
    <xf numFmtId="169" fontId="29" fillId="0" borderId="0" applyAlignment="1" pivotButton="0" quotePrefix="0" xfId="13">
      <alignment horizontal="right"/>
    </xf>
    <xf numFmtId="167" fontId="3" fillId="0" borderId="0" pivotButton="0" quotePrefix="0" xfId="7"/>
    <xf numFmtId="170" fontId="7" fillId="0" borderId="42" applyAlignment="1" pivotButton="0" quotePrefix="0" xfId="1">
      <alignment horizontal="right" wrapText="1"/>
    </xf>
    <xf numFmtId="170" fontId="7" fillId="0" borderId="3" applyAlignment="1" pivotButton="0" quotePrefix="0" xfId="1">
      <alignment horizontal="right" wrapText="1"/>
    </xf>
    <xf numFmtId="170" fontId="7" fillId="0" borderId="30" applyAlignment="1" pivotButton="0" quotePrefix="0" xfId="1">
      <alignment horizontal="right" wrapText="1"/>
    </xf>
    <xf numFmtId="170" fontId="7" fillId="0" borderId="1" applyAlignment="1" pivotButton="0" quotePrefix="0" xfId="1">
      <alignment horizontal="right" wrapText="1"/>
    </xf>
    <xf numFmtId="170" fontId="7" fillId="0" borderId="34" applyAlignment="1" pivotButton="0" quotePrefix="0" xfId="1">
      <alignment horizontal="right" wrapText="1"/>
    </xf>
    <xf numFmtId="167" fontId="0" fillId="0" borderId="0" pivotButton="0" quotePrefix="0" xfId="0"/>
    <xf numFmtId="167" fontId="0" fillId="36" borderId="0" pivotButton="0" quotePrefix="0" xfId="0"/>
    <xf numFmtId="0" fontId="45" fillId="0" borderId="101" applyAlignment="1" pivotButton="0" quotePrefix="0" xfId="0">
      <alignment wrapText="1"/>
    </xf>
    <xf numFmtId="0" fontId="46" fillId="3" borderId="102" applyAlignment="1" pivotButton="0" quotePrefix="0" xfId="0">
      <alignment wrapText="1"/>
    </xf>
    <xf numFmtId="0" fontId="46" fillId="0" borderId="101" applyAlignment="1" pivotButton="0" quotePrefix="0" xfId="0">
      <alignment wrapText="1"/>
    </xf>
    <xf numFmtId="0" fontId="46" fillId="3" borderId="101" applyAlignment="1" pivotButton="0" quotePrefix="0" xfId="0">
      <alignment wrapText="1"/>
    </xf>
    <xf numFmtId="0" fontId="47" fillId="0" borderId="101" applyAlignment="1" pivotButton="0" quotePrefix="0" xfId="0">
      <alignment wrapText="1"/>
    </xf>
    <xf numFmtId="0" fontId="48" fillId="0" borderId="101" applyAlignment="1" pivotButton="0" quotePrefix="0" xfId="0">
      <alignment wrapText="1"/>
    </xf>
    <xf numFmtId="0" fontId="45" fillId="3" borderId="103" applyAlignment="1" pivotButton="0" quotePrefix="0" xfId="0">
      <alignment wrapText="1"/>
    </xf>
    <xf numFmtId="0" fontId="45" fillId="0" borderId="104" applyAlignment="1" pivotButton="0" quotePrefix="0" xfId="0">
      <alignment wrapText="1"/>
    </xf>
    <xf numFmtId="0" fontId="45" fillId="3" borderId="101" applyAlignment="1" pivotButton="0" quotePrefix="0" xfId="0">
      <alignment wrapText="1"/>
    </xf>
    <xf numFmtId="0" fontId="45" fillId="0" borderId="105" applyAlignment="1" pivotButton="0" quotePrefix="0" xfId="0">
      <alignment wrapText="1"/>
    </xf>
    <xf numFmtId="0" fontId="49" fillId="0" borderId="101" applyAlignment="1" pivotButton="0" quotePrefix="0" xfId="0">
      <alignment wrapText="1"/>
    </xf>
    <xf numFmtId="0" fontId="50" fillId="0" borderId="106" applyAlignment="1" pivotButton="0" quotePrefix="0" xfId="0">
      <alignment wrapText="1"/>
    </xf>
    <xf numFmtId="0" fontId="46" fillId="42" borderId="106" applyAlignment="1" pivotButton="0" quotePrefix="0" xfId="0">
      <alignment wrapText="1"/>
    </xf>
    <xf numFmtId="0" fontId="46" fillId="43" borderId="106" applyAlignment="1" pivotButton="0" quotePrefix="0" xfId="0">
      <alignment wrapText="1"/>
    </xf>
    <xf numFmtId="0" fontId="46" fillId="2" borderId="106" applyAlignment="1" pivotButton="0" quotePrefix="0" xfId="0">
      <alignment wrapText="1"/>
    </xf>
    <xf numFmtId="0" fontId="51" fillId="2" borderId="106" applyAlignment="1" pivotButton="0" quotePrefix="0" xfId="0">
      <alignment wrapText="1"/>
    </xf>
    <xf numFmtId="0" fontId="46" fillId="41" borderId="106" applyAlignment="1" pivotButton="0" quotePrefix="0" xfId="0">
      <alignment wrapText="1"/>
    </xf>
    <xf numFmtId="0" fontId="52" fillId="3" borderId="106" applyAlignment="1" pivotButton="0" quotePrefix="0" xfId="0">
      <alignment wrapText="1"/>
    </xf>
    <xf numFmtId="0" fontId="53" fillId="0" borderId="101" applyAlignment="1" pivotButton="0" quotePrefix="0" xfId="0">
      <alignment wrapText="1"/>
    </xf>
    <xf numFmtId="0" fontId="47" fillId="0" borderId="106" applyAlignment="1" pivotButton="0" quotePrefix="0" xfId="0">
      <alignment wrapText="1"/>
    </xf>
    <xf numFmtId="0" fontId="46" fillId="0" borderId="106" applyAlignment="1" pivotButton="0" quotePrefix="0" xfId="0">
      <alignment wrapText="1"/>
    </xf>
    <xf numFmtId="0" fontId="46" fillId="0" borderId="107" applyAlignment="1" pivotButton="0" quotePrefix="0" xfId="0">
      <alignment wrapText="1"/>
    </xf>
    <xf numFmtId="0" fontId="50" fillId="36" borderId="107" applyAlignment="1" pivotButton="0" quotePrefix="0" xfId="0">
      <alignment wrapText="1"/>
    </xf>
    <xf numFmtId="0" fontId="50" fillId="36" borderId="106" applyAlignment="1" pivotButton="0" quotePrefix="0" xfId="0">
      <alignment wrapText="1"/>
    </xf>
    <xf numFmtId="0" fontId="50" fillId="3" borderId="107" applyAlignment="1" pivotButton="0" quotePrefix="0" xfId="0">
      <alignment wrapText="1"/>
    </xf>
    <xf numFmtId="0" fontId="52" fillId="0" borderId="106" applyAlignment="1" pivotButton="0" quotePrefix="0" xfId="0">
      <alignment wrapText="1"/>
    </xf>
    <xf numFmtId="0" fontId="54" fillId="0" borderId="106" applyAlignment="1" pivotButton="0" quotePrefix="0" xfId="0">
      <alignment wrapText="1"/>
    </xf>
    <xf numFmtId="0" fontId="55" fillId="0" borderId="106" applyAlignment="1" pivotButton="0" quotePrefix="0" xfId="0">
      <alignment wrapText="1"/>
    </xf>
    <xf numFmtId="0" fontId="56" fillId="0" borderId="101" applyAlignment="1" pivotButton="0" quotePrefix="0" xfId="0">
      <alignment wrapText="1"/>
    </xf>
    <xf numFmtId="0" fontId="50" fillId="0" borderId="101" applyAlignment="1" pivotButton="0" quotePrefix="0" xfId="0">
      <alignment wrapText="1"/>
    </xf>
    <xf numFmtId="0" fontId="55" fillId="0" borderId="101" applyAlignment="1" pivotButton="0" quotePrefix="0" xfId="0">
      <alignment wrapText="1"/>
    </xf>
    <xf numFmtId="0" fontId="47" fillId="0" borderId="108" applyAlignment="1" pivotButton="0" quotePrefix="0" xfId="0">
      <alignment wrapText="1"/>
    </xf>
  </cellXfs>
  <cellStyles count="92">
    <cellStyle name="Normal" xfId="0" builtinId="0"/>
    <cellStyle name="Normal 3" xfId="1"/>
    <cellStyle name="Normal 2" xfId="2"/>
    <cellStyle name="Percent 3 2" xfId="3"/>
    <cellStyle name="Comma 3" xfId="4"/>
    <cellStyle name="Comma 2" xfId="5"/>
    <cellStyle name="Comma 3 2" xfId="6"/>
    <cellStyle name="Normal 2 2" xfId="7"/>
    <cellStyle name="Percent 2" xfId="8"/>
    <cellStyle name="Percent 3" xfId="9"/>
    <cellStyle name="Percent" xfId="10" builtinId="5"/>
    <cellStyle name="Normal 4" xfId="11"/>
    <cellStyle name="Note 2" xfId="12"/>
    <cellStyle name="Normal 5" xfId="13"/>
    <cellStyle name="Normal 6" xfId="14"/>
    <cellStyle name="Percent 4" xfId="15"/>
    <cellStyle name="Good 2" xfId="16"/>
    <cellStyle name="Bad 2" xfId="17"/>
    <cellStyle name="Neutral 2" xfId="18"/>
    <cellStyle name="Input 2" xfId="19"/>
    <cellStyle name="Output 2" xfId="20"/>
    <cellStyle name="Calculation 2" xfId="21"/>
    <cellStyle name="Linked Cell 2" xfId="22"/>
    <cellStyle name="Check Cell 2" xfId="23"/>
    <cellStyle name="Warning Text 2" xfId="24"/>
    <cellStyle name="Explanatory Text 2" xfId="25"/>
    <cellStyle name="Total 2" xfId="26"/>
    <cellStyle name="Accent1 2" xfId="27"/>
    <cellStyle name="20% - Accent1 2" xfId="28"/>
    <cellStyle name="40% - Accent1 2" xfId="29"/>
    <cellStyle name="60% - Accent1 2" xfId="30"/>
    <cellStyle name="Accent2 2" xfId="31"/>
    <cellStyle name="20% - Accent2 2" xfId="32"/>
    <cellStyle name="40% - Accent2 2" xfId="33"/>
    <cellStyle name="60% - Accent2 2" xfId="34"/>
    <cellStyle name="Accent3 2" xfId="35"/>
    <cellStyle name="20% - Accent3 2" xfId="36"/>
    <cellStyle name="40% - Accent3 2" xfId="37"/>
    <cellStyle name="60% - Accent3 2" xfId="38"/>
    <cellStyle name="Accent4 2" xfId="39"/>
    <cellStyle name="20% - Accent4 2" xfId="40"/>
    <cellStyle name="40% - Accent4 2" xfId="41"/>
    <cellStyle name="60% - Accent4 2" xfId="42"/>
    <cellStyle name="Accent5 2" xfId="43"/>
    <cellStyle name="20% - Accent5 2" xfId="44"/>
    <cellStyle name="40% - Accent5 2" xfId="45"/>
    <cellStyle name="60% - Accent5 2" xfId="46"/>
    <cellStyle name="Accent6 2" xfId="47"/>
    <cellStyle name="20% - Accent6 2" xfId="48"/>
    <cellStyle name="40% - Accent6 2" xfId="49"/>
    <cellStyle name="60% - Accent6 2" xfId="50"/>
    <cellStyle name="Normal 4 2" xfId="51"/>
    <cellStyle name="Note 2 2" xfId="52"/>
    <cellStyle name="Heading 1 2" xfId="53"/>
    <cellStyle name="Heading 2 2" xfId="54"/>
    <cellStyle name="Heading 3 2" xfId="55"/>
    <cellStyle name="Heading 4 2" xfId="56"/>
    <cellStyle name="Good 3" xfId="57"/>
    <cellStyle name="Bad 3" xfId="58"/>
    <cellStyle name="Neutral 3" xfId="59"/>
    <cellStyle name="Input 3" xfId="60"/>
    <cellStyle name="Output 3" xfId="61"/>
    <cellStyle name="Calculation 3" xfId="62"/>
    <cellStyle name="Linked Cell 3" xfId="63"/>
    <cellStyle name="Check Cell 3" xfId="64"/>
    <cellStyle name="Warning Text 3" xfId="65"/>
    <cellStyle name="Explanatory Text 3" xfId="66"/>
    <cellStyle name="Total 3" xfId="67"/>
    <cellStyle name="Accent1 3" xfId="68"/>
    <cellStyle name="20% - Accent1 3" xfId="69"/>
    <cellStyle name="40% - Accent1 3" xfId="70"/>
    <cellStyle name="60% - Accent1 3" xfId="71"/>
    <cellStyle name="Accent2 3" xfId="72"/>
    <cellStyle name="20% - Accent2 3" xfId="73"/>
    <cellStyle name="40% - Accent2 3" xfId="74"/>
    <cellStyle name="60% - Accent2 3" xfId="75"/>
    <cellStyle name="Accent3 3" xfId="76"/>
    <cellStyle name="20% - Accent3 3" xfId="77"/>
    <cellStyle name="40% - Accent3 3" xfId="78"/>
    <cellStyle name="60% - Accent3 3" xfId="79"/>
    <cellStyle name="Accent4 3" xfId="80"/>
    <cellStyle name="20% - Accent4 3" xfId="81"/>
    <cellStyle name="40% - Accent4 3" xfId="82"/>
    <cellStyle name="60% - Accent4 3" xfId="83"/>
    <cellStyle name="Accent5 3" xfId="84"/>
    <cellStyle name="20% - Accent5 3" xfId="85"/>
    <cellStyle name="40% - Accent5 3" xfId="86"/>
    <cellStyle name="60% - Accent5 3" xfId="87"/>
    <cellStyle name="Accent6 3" xfId="88"/>
    <cellStyle name="20% - Accent6 3" xfId="89"/>
    <cellStyle name="40% - Accent6 3" xfId="90"/>
    <cellStyle name="60% - Accent6 3" xfId="91"/>
  </cellStyles>
  <dxfs count="690"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  <dxf>
      <fill>
        <patternFill>
          <bgColor theme="5" tint="0.399945066682943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styles" Target="styles.xml" Id="rId298" /><Relationship Type="http://schemas.openxmlformats.org/officeDocument/2006/relationships/theme" Target="theme/theme1.xml" Id="rId299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02774774806268282"/>
          <y val="0.15834337033674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Jan 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17'!$B$4:$B$17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74739.084</v>
                </pt>
                <pt idx="6">
                  <v>127301.5998</v>
                </pt>
                <pt idx="7">
                  <v>228224.637</v>
                </pt>
                <pt idx="8">
                  <v>127170.819</v>
                </pt>
                <pt idx="9">
                  <v>129554.9922</v>
                </pt>
                <pt idx="10">
                  <v>140008.2792</v>
                </pt>
              </numCache>
            </numRef>
          </val>
          <smooth val="0"/>
        </ser>
        <ser>
          <idx val="1"/>
          <order val="1"/>
          <tx>
            <strRef>
              <f>'Dec 25 - Jan 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17'!$C$4:$C$17</f>
              <numCache>
                <formatCode>#\ ##0.00;\(#\ ##0.00\)</formatCode>
                <ptCount val="11"/>
                <pt idx="0">
                  <formatCode xml:space="preserve">_ * #\ ##0.00_ ;_ * \-#\ ##0.00_ ;_ * "-"??_ ;_ @_ </formatCode>
                  <v>1643651.1678</v>
                </pt>
                <pt idx="1">
                  <v>263914.3434</v>
                </pt>
                <pt idx="2">
                  <v>131205.0852</v>
                </pt>
                <pt idx="3">
                  <v>98530.4736</v>
                </pt>
                <pt idx="4">
                  <v>286871.595</v>
                </pt>
                <pt idx="5">
                  <v>112910.4336</v>
                </pt>
                <pt idx="6">
                  <v>102979.0158</v>
                </pt>
                <pt idx="7">
                  <v>280576.344</v>
                </pt>
                <pt idx="8">
                  <v>120383.2362</v>
                </pt>
                <pt idx="9">
                  <v>140142.309</v>
                </pt>
                <pt idx="10">
                  <v>106138.332</v>
                </pt>
              </numCache>
            </numRef>
          </val>
          <smooth val="0"/>
        </ser>
        <ser>
          <idx val="2"/>
          <order val="2"/>
          <tx>
            <strRef>
              <f>'Dec 25 - Jan 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Jan 1 17'!$A$4:$A$17</f>
              <strCache>
                <ptCount val="11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>The Wedge</v>
                </pt>
                <pt idx="6">
                  <v xml:space="preserve">Waterkloof </v>
                </pt>
                <pt idx="7">
                  <v>Eagles Landing</v>
                </pt>
                <pt idx="8">
                  <v>Stellenbosch</v>
                </pt>
                <pt idx="9">
                  <v>Lynnwood</v>
                </pt>
                <pt idx="10">
                  <v>Wellington</v>
                </pt>
              </strCache>
            </strRef>
          </cat>
          <val>
            <numRef>
              <f>'Dec 25 - Jan 1 17'!$D$4:$D$17</f>
              <numCache>
                <formatCode>#,##0.00</formatCode>
                <ptCount val="11"/>
                <pt idx="0">
                  <formatCode xml:space="preserve">_ * #\ ##0.00_ ;_ * \-#\ ##0.00_ ;_ * "-"??_ ;_ @_ </formatCode>
                  <v>1532982.4</v>
                </pt>
                <pt idx="1">
                  <v>350018.75</v>
                </pt>
                <pt idx="2">
                  <v>121256.48</v>
                </pt>
                <pt idx="3">
                  <v>101164.58</v>
                </pt>
                <pt idx="4">
                  <v>239113.87</v>
                </pt>
                <pt idx="5">
                  <v>102757.5</v>
                </pt>
                <pt idx="6">
                  <v>182958.8</v>
                </pt>
                <pt idx="7">
                  <v>320748.3</v>
                </pt>
                <pt idx="8">
                  <v>114964.12</v>
                </pt>
                <pt idx="9">
                  <v>0</v>
                </pt>
                <pt idx="10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334579584"/>
        <axId val="435055008"/>
      </lineChart>
      <catAx>
        <axId val="33457958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5055008"/>
        <crosses val="autoZero"/>
        <auto val="1"/>
        <lblAlgn val="ctr"/>
        <lblOffset val="100"/>
        <noMultiLvlLbl val="0"/>
      </catAx>
      <valAx>
        <axId val="435055008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33457958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'Dec 25 - Dec 31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1"/>
          <order val="1"/>
          <tx>
            <strRef>
              <f>'Dec 25 - Dec 31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3322466.0232</v>
                </pt>
                <pt idx="1">
                  <v>318601.6596</v>
                </pt>
                <pt idx="2">
                  <v>469831.3235999999</v>
                </pt>
                <pt idx="3">
                  <v>106498.0704</v>
                </pt>
                <pt idx="4">
                  <v>369985.6662</v>
                </pt>
                <pt idx="5">
                  <v>96134.94599999998</v>
                </pt>
                <pt idx="6">
                  <v>333290.5938</v>
                </pt>
                <pt idx="7">
                  <v>146877.2238</v>
                </pt>
                <pt idx="8">
                  <v>208847.9088</v>
                </pt>
                <pt idx="9">
                  <v>125407.182</v>
                </pt>
                <pt idx="10">
                  <v>697580.9682</v>
                </pt>
                <pt idx="11">
                  <v>134771.7348</v>
                </pt>
                <pt idx="12">
                  <v>314638.746</v>
                </pt>
              </numCache>
            </numRef>
          </val>
          <smooth val="0"/>
        </ser>
        <ser>
          <idx val="2"/>
          <order val="2"/>
          <tx>
            <strRef>
              <f>'Dec 25 - Dec 31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'Dec 25 - Dec 31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'Dec 25 - Dec 31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2073497.6298</v>
                </pt>
                <pt idx="1">
                  <v>370077.2196</v>
                </pt>
                <pt idx="2">
                  <v>131902.4346</v>
                </pt>
                <pt idx="3">
                  <v>107724.8244</v>
                </pt>
                <pt idx="4">
                  <v>363439.6494</v>
                </pt>
                <pt idx="5">
                  <v>155076.651</v>
                </pt>
                <pt idx="6">
                  <v>346295.2578</v>
                </pt>
                <pt idx="7">
                  <v>165704.1528</v>
                </pt>
                <pt idx="8">
                  <v>185355.3816</v>
                </pt>
                <pt idx="9">
                  <v>130948.095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1 - Jan 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1"/>
          <order val="1"/>
          <tx>
            <strRef>
              <f>'Jan 1 - Jan 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2856621.188399999</v>
                </pt>
                <pt idx="1">
                  <v>305952.8123999999</v>
                </pt>
                <pt idx="2">
                  <v>281625.3264</v>
                </pt>
                <pt idx="3">
                  <v>57697.54319999999</v>
                </pt>
                <pt idx="4">
                  <v>264574.9734</v>
                </pt>
                <pt idx="5">
                  <v>114275.7546</v>
                </pt>
                <pt idx="6">
                  <v>277715.1036</v>
                </pt>
                <pt idx="7">
                  <v>120034.704</v>
                </pt>
                <pt idx="8">
                  <v>157076.4618</v>
                </pt>
                <pt idx="9">
                  <v>195637.7712</v>
                </pt>
                <pt idx="10">
                  <v>802286.5595999999</v>
                </pt>
                <pt idx="11">
                  <v>103389.8832</v>
                </pt>
                <pt idx="12">
                  <v>176354.295</v>
                </pt>
              </numCache>
            </numRef>
          </val>
          <smooth val="0"/>
        </ser>
        <ser>
          <idx val="2"/>
          <order val="2"/>
          <tx>
            <strRef>
              <f>'Jan 1 - Jan 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1 - Jan 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1 - Jan 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1560252.45</v>
                </pt>
                <pt idx="1">
                  <v>262785.4812</v>
                </pt>
                <pt idx="2">
                  <v>134553.8808</v>
                </pt>
                <pt idx="3">
                  <v>73186.00499999999</v>
                </pt>
                <pt idx="4">
                  <v>262727.6718</v>
                </pt>
                <pt idx="5">
                  <v>127301.5998</v>
                </pt>
                <pt idx="6">
                  <v>228224.637</v>
                </pt>
                <pt idx="7">
                  <v>127170.819</v>
                </pt>
                <pt idx="8">
                  <v>129554.9922</v>
                </pt>
                <pt idx="9">
                  <v>140008.2792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8 - Jan 14'!$B$3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1"/>
          <order val="1"/>
          <tx>
            <strRef>
              <f>'Jan 8 - Jan 14'!$C$3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2979026.7618</v>
                </pt>
                <pt idx="1">
                  <v>344966.8271999999</v>
                </pt>
                <pt idx="2">
                  <v>255007.0674</v>
                </pt>
                <pt idx="3">
                  <v>81571.46879999999</v>
                </pt>
                <pt idx="4">
                  <v>328490.9088</v>
                </pt>
                <pt idx="5">
                  <v>116016.1926</v>
                </pt>
                <pt idx="6">
                  <v>302047.1496</v>
                </pt>
                <pt idx="7">
                  <v>132438.3828</v>
                </pt>
                <pt idx="8">
                  <v>185942.436</v>
                </pt>
                <pt idx="9">
                  <v>164385.9024</v>
                </pt>
                <pt idx="10">
                  <v>687439.0721999999</v>
                </pt>
                <pt idx="11">
                  <v>121726.2702</v>
                </pt>
                <pt idx="12">
                  <v>258995.0838</v>
                </pt>
              </numCache>
            </numRef>
          </val>
          <smooth val="0"/>
        </ser>
        <ser>
          <idx val="2"/>
          <order val="2"/>
          <tx>
            <strRef>
              <f>'Jan 8 - Jan 14'!$D$3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8 - Jan 14'!$A$4:$A$20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8 - Jan 14'!$D$4:$D$20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1856806.0194</v>
                </pt>
                <pt idx="1">
                  <v>277591.3338</v>
                </pt>
                <pt idx="2">
                  <v>178260.2268</v>
                </pt>
                <pt idx="3">
                  <v>106379.4306</v>
                </pt>
                <pt idx="4">
                  <v>279925.5522</v>
                </pt>
                <pt idx="5">
                  <v>148241.6556</v>
                </pt>
                <pt idx="6">
                  <v>299760.3096</v>
                </pt>
                <pt idx="7">
                  <v>146501.0808</v>
                </pt>
                <pt idx="8">
                  <v>183625.1466</v>
                </pt>
                <pt idx="9">
                  <v>115380.9732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15 - Jan 21'!$B$3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1"/>
          <order val="1"/>
          <tx>
            <strRef>
              <f>'Jan 15 - Jan 21'!$C$3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2643299.1444</v>
                </pt>
                <pt idx="1">
                  <v>305923.3662</v>
                </pt>
                <pt idx="2">
                  <v>185906.1156</v>
                </pt>
                <pt idx="3">
                  <v>94722.17819999999</v>
                </pt>
                <pt idx="4">
                  <v>304281.7662</v>
                </pt>
                <pt idx="5">
                  <v>134187.918</v>
                </pt>
                <pt idx="6">
                  <v>335383.8618</v>
                </pt>
                <pt idx="7">
                  <v>122355.0144</v>
                </pt>
                <pt idx="8">
                  <v>231831.5058</v>
                </pt>
                <pt idx="9">
                  <v>118642.7526</v>
                </pt>
                <pt idx="10">
                  <v>392155.2348</v>
                </pt>
                <pt idx="11">
                  <v>136168.2576</v>
                </pt>
                <pt idx="12">
                  <v>281741.1732</v>
                </pt>
              </numCache>
            </numRef>
          </val>
          <smooth val="0"/>
        </ser>
        <ser>
          <idx val="2"/>
          <order val="2"/>
          <tx>
            <strRef>
              <f>'Jan 15 - Jan 21'!$D$3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15 - Jan 21'!$A$4:$A$20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15 - Jan 21'!$D$4:$D$20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1841285.2842</v>
                </pt>
                <pt idx="1">
                  <v>218358.7464</v>
                </pt>
                <pt idx="2">
                  <v>180684.0606</v>
                </pt>
                <pt idx="3">
                  <v>111006.4968</v>
                </pt>
                <pt idx="4">
                  <v>309025.6139999999</v>
                </pt>
                <pt idx="5">
                  <v>150071.8002</v>
                </pt>
                <pt idx="6">
                  <v>320712.2556</v>
                </pt>
                <pt idx="7">
                  <v>146267.5062</v>
                </pt>
                <pt idx="8">
                  <v>190827.2562</v>
                </pt>
                <pt idx="9">
                  <v>107767.4946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22 - Jan 28'!$B$3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1"/>
          <order val="1"/>
          <tx>
            <strRef>
              <f>'Jan 22 - Jan 28'!$C$3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2"/>
          <order val="2"/>
          <tx>
            <strRef>
              <f>'Jan 22 - Jan 28'!$D$3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22 - Jan 28'!$A$4:$A$20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22 - Jan 28'!$D$4:$D$20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1980443.3628</v>
                </pt>
                <pt idx="1">
                  <v>255430.2582</v>
                </pt>
                <pt idx="2">
                  <v>196385.121</v>
                </pt>
                <pt idx="3">
                  <v>112277.0724</v>
                </pt>
                <pt idx="4">
                  <v>340323.3792</v>
                </pt>
                <pt idx="5">
                  <v>162490.071</v>
                </pt>
                <pt idx="6">
                  <v>326614.2407999999</v>
                </pt>
                <pt idx="7">
                  <v>142935.1722</v>
                </pt>
                <pt idx="8">
                  <v>216676.3686</v>
                </pt>
                <pt idx="9">
                  <v>114210.5238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'Jan 29 - Feb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2558916.2076</v>
                </pt>
                <pt idx="1">
                  <v>250459.8354</v>
                </pt>
                <pt idx="2">
                  <v>221428.242</v>
                </pt>
                <pt idx="3">
                  <v>117640.5558</v>
                </pt>
                <pt idx="4">
                  <v>358315.9421999999</v>
                </pt>
                <pt idx="5">
                  <v>164641.194</v>
                </pt>
                <pt idx="6">
                  <v>374237.2848</v>
                </pt>
                <pt idx="7">
                  <v>156808.254</v>
                </pt>
                <pt idx="8">
                  <v>218636.04</v>
                </pt>
                <pt idx="9">
                  <v>91792.29839999999</v>
                </pt>
                <pt idx="10">
                  <v>155666.7606</v>
                </pt>
                <pt idx="11">
                  <v>154656.846</v>
                </pt>
                <pt idx="12">
                  <v>294632.9544</v>
                </pt>
              </numCache>
            </numRef>
          </val>
          <smooth val="0"/>
        </ser>
        <ser>
          <idx val="1"/>
          <order val="1"/>
          <tx>
            <strRef>
              <f>'Jan 29 - Feb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2399014.29</v>
                </pt>
                <pt idx="1">
                  <v>253245.6306</v>
                </pt>
                <pt idx="2">
                  <v>206112.9234</v>
                </pt>
                <pt idx="3">
                  <v>93216.26099999998</v>
                </pt>
                <pt idx="4">
                  <v>307859.7018</v>
                </pt>
                <pt idx="5">
                  <v>155811.609</v>
                </pt>
                <pt idx="6">
                  <v>338251.4862</v>
                </pt>
                <pt idx="7">
                  <v>136880.2788</v>
                </pt>
                <pt idx="8">
                  <v>237376.2492</v>
                </pt>
                <pt idx="9">
                  <v>102472.833</v>
                </pt>
                <pt idx="10">
                  <v>164762.376</v>
                </pt>
                <pt idx="11">
                  <v>142884.2484</v>
                </pt>
                <pt idx="12">
                  <v>260140.6926</v>
                </pt>
              </numCache>
            </numRef>
          </val>
          <smooth val="0"/>
        </ser>
        <ser>
          <idx val="2"/>
          <order val="2"/>
          <tx>
            <strRef>
              <f>'Jan 29 - Feb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'Jan 29 - Feb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'Jan 29 - Feb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5 - Feb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1"/>
          <order val="1"/>
          <tx>
            <strRef>
              <f>'Feb 5 - Feb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2606599.2726</v>
                </pt>
                <pt idx="1">
                  <v>264313.3775999999</v>
                </pt>
                <pt idx="2">
                  <v>213566.8932</v>
                </pt>
                <pt idx="3">
                  <v>137327.5236</v>
                </pt>
                <pt idx="4">
                  <v>357823.2228</v>
                </pt>
                <pt idx="5">
                  <v>188434.9662</v>
                </pt>
                <pt idx="6">
                  <v>359683.1214</v>
                </pt>
                <pt idx="7">
                  <v>168001.2072</v>
                </pt>
                <pt idx="8">
                  <v>278483.6688</v>
                </pt>
                <pt idx="9">
                  <v>94560.91379999999</v>
                </pt>
                <pt idx="10">
                  <v>160221.0834</v>
                </pt>
                <pt idx="11">
                  <v>135100.7502</v>
                </pt>
                <pt idx="12">
                  <v>249082.5444</v>
                </pt>
              </numCache>
            </numRef>
          </val>
          <smooth val="0"/>
        </ser>
        <ser>
          <idx val="2"/>
          <order val="2"/>
          <tx>
            <strRef>
              <f>'Feb 5 - Feb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5 - Feb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5 - Feb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274609.584</v>
                </pt>
                <pt idx="2">
                  <v>194885.28</v>
                </pt>
                <pt idx="3">
                  <v>105552.3264</v>
                </pt>
                <pt idx="4">
                  <v>303057.4289999999</v>
                </pt>
                <pt idx="5">
                  <v>189023.8446</v>
                </pt>
                <pt idx="6">
                  <v>328229.9399999999</v>
                </pt>
                <pt idx="7">
                  <v>151888.8462</v>
                </pt>
                <pt idx="8">
                  <v>199726.632</v>
                </pt>
                <pt idx="9">
                  <v>126883.0944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12 - Feb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1"/>
          <order val="1"/>
          <tx>
            <strRef>
              <f>'Feb 12 - Feb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2458264.707</v>
                </pt>
                <pt idx="1">
                  <v>238102.0872</v>
                </pt>
                <pt idx="2">
                  <v>197212.7838</v>
                </pt>
                <pt idx="3">
                  <v>118452.9198</v>
                </pt>
                <pt idx="4">
                  <v>355813.7105999999</v>
                </pt>
                <pt idx="5">
                  <v>162435.066</v>
                </pt>
                <pt idx="6">
                  <v>342947.112</v>
                </pt>
                <pt idx="7">
                  <v>140945.8266</v>
                </pt>
                <pt idx="8">
                  <v>208903.119</v>
                </pt>
                <pt idx="9">
                  <v>87776.68259999999</v>
                </pt>
                <pt idx="10">
                  <v>185732.22</v>
                </pt>
                <pt idx="11">
                  <v>172590.528</v>
                </pt>
                <pt idx="12">
                  <v>247352.6514</v>
                </pt>
              </numCache>
            </numRef>
          </val>
          <smooth val="0"/>
        </ser>
        <ser>
          <idx val="2"/>
          <order val="2"/>
          <tx>
            <strRef>
              <f>'Feb 12 - Feb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12 - Feb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12 - Feb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1873856.9766</v>
                </pt>
                <pt idx="1">
                  <v>260122.1448</v>
                </pt>
                <pt idx="2">
                  <v>175341.3024</v>
                </pt>
                <pt idx="3">
                  <v>118462.929</v>
                </pt>
                <pt idx="4">
                  <v>341588.7905999999</v>
                </pt>
                <pt idx="5">
                  <v>204963.0282</v>
                </pt>
                <pt idx="6">
                  <v>327136.7255999999</v>
                </pt>
                <pt idx="7">
                  <v>153294.6144</v>
                </pt>
                <pt idx="8">
                  <v>227554.0662</v>
                </pt>
                <pt idx="9">
                  <v>138458.1528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19 - Feb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1"/>
          <order val="1"/>
          <tx>
            <strRef>
              <f>'Feb 19 - Feb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2683693.368599999</v>
                </pt>
                <pt idx="1">
                  <v>276311.946</v>
                </pt>
                <pt idx="2">
                  <v>236601.3</v>
                </pt>
                <pt idx="3">
                  <v>130404.657</v>
                </pt>
                <pt idx="4">
                  <v>369527.865</v>
                </pt>
                <pt idx="5">
                  <v>205533.2106</v>
                </pt>
                <pt idx="6">
                  <v>337363.4604</v>
                </pt>
                <pt idx="7">
                  <v>147341.3634</v>
                </pt>
                <pt idx="8">
                  <v>249269.1966</v>
                </pt>
                <pt idx="9">
                  <v>134409.8304</v>
                </pt>
                <pt idx="10">
                  <v>182040.3414</v>
                </pt>
                <pt idx="11">
                  <v>162343.1706</v>
                </pt>
                <pt idx="12">
                  <v>252547.0272</v>
                </pt>
              </numCache>
            </numRef>
          </val>
          <smooth val="0"/>
        </ser>
        <ser>
          <idx val="2"/>
          <order val="2"/>
          <tx>
            <strRef>
              <f>'Feb 19 - Feb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19 - Feb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19 - Feb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1838805.0318</v>
                </pt>
                <pt idx="1">
                  <v>259839.972</v>
                </pt>
                <pt idx="2">
                  <v>193657.386</v>
                </pt>
                <pt idx="3">
                  <v>103002.5112</v>
                </pt>
                <pt idx="4">
                  <v>324940.242</v>
                </pt>
                <pt idx="5">
                  <v>166134.6282</v>
                </pt>
                <pt idx="6">
                  <v>328236.324</v>
                </pt>
                <pt idx="7">
                  <v>158152.7244</v>
                </pt>
                <pt idx="8">
                  <v>190772.1828</v>
                </pt>
                <pt idx="9">
                  <v>114069.0612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'Feb 26 - Mar 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1"/>
          <order val="1"/>
          <tx>
            <strRef>
              <f>'Feb 26 - Mar 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2641388.914799999</v>
                </pt>
                <pt idx="1">
                  <v>267464.3148</v>
                </pt>
                <pt idx="2">
                  <v>223776.3684</v>
                </pt>
                <pt idx="3">
                  <v>121431.2382</v>
                </pt>
                <pt idx="4">
                  <v>412933.8666</v>
                </pt>
                <pt idx="5">
                  <v>161457.7212</v>
                </pt>
                <pt idx="6">
                  <v>344235.0269999999</v>
                </pt>
                <pt idx="7">
                  <v>132910.149</v>
                </pt>
                <pt idx="8">
                  <v>224308.4064</v>
                </pt>
                <pt idx="9">
                  <v>87662.4774</v>
                </pt>
                <pt idx="10">
                  <v>171061.8108</v>
                </pt>
                <pt idx="11">
                  <v>208108.8696</v>
                </pt>
                <pt idx="12">
                  <v>286038.6653999999</v>
                </pt>
              </numCache>
            </numRef>
          </val>
          <smooth val="0"/>
        </ser>
        <ser>
          <idx val="2"/>
          <order val="2"/>
          <tx>
            <strRef>
              <f>'Feb 26 - Mar 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'Feb 26 - Mar 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'Feb 26 - Mar 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1849316.151</v>
                </pt>
                <pt idx="1">
                  <v>250866.6786</v>
                </pt>
                <pt idx="2">
                  <v>188660.7774</v>
                </pt>
                <pt idx="3">
                  <v>127092.6264</v>
                </pt>
                <pt idx="4">
                  <v>343264.1801999999</v>
                </pt>
                <pt idx="5">
                  <v>174733.1352</v>
                </pt>
                <pt idx="6">
                  <v>343316.7</v>
                </pt>
                <pt idx="7">
                  <v>149180.7192</v>
                </pt>
                <pt idx="8">
                  <v>182243.7972</v>
                </pt>
                <pt idx="9">
                  <v>89957.53679999999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5 - Mar 11'!$B$3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1"/>
          <order val="1"/>
          <tx>
            <strRef>
              <f>'Mar 5 - Mar 11'!$C$3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2654746.899</v>
                </pt>
                <pt idx="1">
                  <v>284079.963</v>
                </pt>
                <pt idx="2">
                  <v>236736.4926</v>
                </pt>
                <pt idx="3">
                  <v>121133.892</v>
                </pt>
                <pt idx="4">
                  <v>412964.1564</v>
                </pt>
                <pt idx="5">
                  <v>174201.9294</v>
                </pt>
                <pt idx="6">
                  <v>363190.8101999999</v>
                </pt>
                <pt idx="7">
                  <v>150563.1402</v>
                </pt>
                <pt idx="8">
                  <v>253716.8724</v>
                </pt>
                <pt idx="9">
                  <v>107610.1632</v>
                </pt>
                <pt idx="10">
                  <v>153225.2112</v>
                </pt>
                <pt idx="11">
                  <v>145563.4308</v>
                </pt>
                <pt idx="12">
                  <v>251760.8376</v>
                </pt>
              </numCache>
            </numRef>
          </val>
          <smooth val="0"/>
        </ser>
        <ser>
          <idx val="2"/>
          <order val="2"/>
          <tx>
            <strRef>
              <f>'Mar 5 - Mar 11'!$D$3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5 - Mar 11'!$A$4:$A$20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5 - Mar 11'!$D$4:$D$20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1634898.7608</v>
                </pt>
                <pt idx="1">
                  <v>226151.7522</v>
                </pt>
                <pt idx="2">
                  <v>168726.213</v>
                </pt>
                <pt idx="3">
                  <v>113762.2758</v>
                </pt>
                <pt idx="4">
                  <v>274721.1102</v>
                </pt>
                <pt idx="5">
                  <v>144546.2772</v>
                </pt>
                <pt idx="6">
                  <v>279323.8259999999</v>
                </pt>
                <pt idx="7">
                  <v>149269.3656</v>
                </pt>
                <pt idx="8">
                  <v>179858.085</v>
                </pt>
                <pt idx="9">
                  <v>98539.85579999999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12 - Mar 18'!$B$3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1"/>
          <order val="1"/>
          <tx>
            <strRef>
              <f>'Mar 12 - Mar 18'!$C$3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2510428.1202</v>
                </pt>
                <pt idx="1">
                  <v>253669.095</v>
                </pt>
                <pt idx="2">
                  <v>201294.246</v>
                </pt>
                <pt idx="3">
                  <v>112541.0508</v>
                </pt>
                <pt idx="4">
                  <v>373639.8564</v>
                </pt>
                <pt idx="5">
                  <v>167563.5498</v>
                </pt>
                <pt idx="6">
                  <v>358608.3294</v>
                </pt>
                <pt idx="7">
                  <v>165013.2786</v>
                </pt>
                <pt idx="8">
                  <v>238418.403</v>
                </pt>
                <pt idx="9">
                  <v>84512.75999999999</v>
                </pt>
                <pt idx="10">
                  <v>152120.6538</v>
                </pt>
                <pt idx="11">
                  <v>153756.0636</v>
                </pt>
                <pt idx="12">
                  <v>249290.8338</v>
                </pt>
              </numCache>
            </numRef>
          </val>
          <smooth val="0"/>
        </ser>
        <ser>
          <idx val="2"/>
          <order val="2"/>
          <tx>
            <strRef>
              <f>'Mar 12 - Mar 18'!$D$3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12 - Mar 18'!$A$4:$A$20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12 - Mar 18'!$D$4:$D$20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1961619.6942</v>
                </pt>
                <pt idx="1">
                  <v>243951.9288</v>
                </pt>
                <pt idx="2">
                  <v>189747.6876</v>
                </pt>
                <pt idx="3">
                  <v>117464.346</v>
                </pt>
                <pt idx="4">
                  <v>314432.0981999999</v>
                </pt>
                <pt idx="5">
                  <v>154265.8374</v>
                </pt>
                <pt idx="6">
                  <v>348943.2384</v>
                </pt>
                <pt idx="7">
                  <v>158301.1182</v>
                </pt>
                <pt idx="8">
                  <v>218844.2724</v>
                </pt>
                <pt idx="9">
                  <v>99077.57099999998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dropLines>
          <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spPr>
        </dropLine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19 - Mar 25'!$B$3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1"/>
          <order val="1"/>
          <tx>
            <strRef>
              <f>'Mar 19 - Mar 25'!$C$3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2481034.439999999</v>
                </pt>
                <pt idx="1">
                  <v>245340.8478</v>
                </pt>
                <pt idx="2">
                  <v>186092.346</v>
                </pt>
                <pt idx="3">
                  <v>105150.7158</v>
                </pt>
                <pt idx="4">
                  <v>367695.6</v>
                </pt>
                <pt idx="5">
                  <v>167414.472</v>
                </pt>
                <pt idx="6">
                  <v>375410.8121999999</v>
                </pt>
                <pt idx="7">
                  <v>128294.859</v>
                </pt>
                <pt idx="8">
                  <v>236653.569</v>
                </pt>
                <pt idx="9">
                  <v>87560.1966</v>
                </pt>
                <pt idx="10">
                  <v>161292.1932</v>
                </pt>
                <pt idx="11">
                  <v>143638.9056</v>
                </pt>
                <pt idx="12">
                  <v>276489.9227999999</v>
                </pt>
              </numCache>
            </numRef>
          </val>
          <smooth val="0"/>
        </ser>
        <ser>
          <idx val="2"/>
          <order val="2"/>
          <tx>
            <strRef>
              <f>'Mar 19 - Mar 25'!$D$3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19 - Mar 25'!$A$4:$A$20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19 - Mar 25'!$D$4:$D$20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1956083.1132</v>
                </pt>
                <pt idx="1">
                  <v>279732.4019999999</v>
                </pt>
                <pt idx="2">
                  <v>216442.11</v>
                </pt>
                <pt idx="3">
                  <v>133841.814</v>
                </pt>
                <pt idx="4">
                  <v>374018.04</v>
                </pt>
                <pt idx="5">
                  <v>161414.31</v>
                </pt>
                <pt idx="6">
                  <v>327932.514</v>
                </pt>
                <pt idx="7">
                  <v>132220.164</v>
                </pt>
                <pt idx="8">
                  <v>227734.722</v>
                </pt>
                <pt idx="9">
                  <v>102747.0372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'Mar 26 - Apr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1"/>
          <order val="1"/>
          <tx>
            <strRef>
              <f>'Mar 26 - Apr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2779971.2022</v>
                </pt>
                <pt idx="1">
                  <v>300254.7846</v>
                </pt>
                <pt idx="2">
                  <v>240153.6768</v>
                </pt>
                <pt idx="3">
                  <v>114471.4356</v>
                </pt>
                <pt idx="4">
                  <v>409047.5723999999</v>
                </pt>
                <pt idx="5">
                  <v>179567.955</v>
                </pt>
                <pt idx="6">
                  <v>385820.6994</v>
                </pt>
                <pt idx="7">
                  <v>142139.76</v>
                </pt>
                <pt idx="8">
                  <v>240031.1268</v>
                </pt>
                <pt idx="9">
                  <v>125870.8656</v>
                </pt>
                <pt idx="10">
                  <v>195653.6172</v>
                </pt>
                <pt idx="11">
                  <v>185789.0148</v>
                </pt>
                <pt idx="12">
                  <v>261170.694</v>
                </pt>
              </numCache>
            </numRef>
          </val>
          <smooth val="0"/>
        </ser>
        <ser>
          <idx val="2"/>
          <order val="2"/>
          <tx>
            <strRef>
              <f>'Mar 26 - Apr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'Mar 26 - Apr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'Mar 26 - Apr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2057108.7504</v>
                </pt>
                <pt idx="1">
                  <v>276943.4832</v>
                </pt>
                <pt idx="2">
                  <v>295727.3772</v>
                </pt>
                <pt idx="3">
                  <v>139434.8934</v>
                </pt>
                <pt idx="4">
                  <v>369735.6528</v>
                </pt>
                <pt idx="5">
                  <v>164607.7008</v>
                </pt>
                <pt idx="6">
                  <v>376391.2122</v>
                </pt>
                <pt idx="7">
                  <v>136595.1648</v>
                </pt>
                <pt idx="8">
                  <v>219526.0836</v>
                </pt>
                <pt idx="9">
                  <v>78147.18239999999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2 - Apr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2853967.3368</v>
                </pt>
                <pt idx="1">
                  <v>319600.4934</v>
                </pt>
                <pt idx="2">
                  <v>231810.2562</v>
                </pt>
                <pt idx="3">
                  <v>106116.0678</v>
                </pt>
                <pt idx="4">
                  <v>451103.1642</v>
                </pt>
                <pt idx="5">
                  <v>142761.5616</v>
                </pt>
                <pt idx="6">
                  <v>350556.4524</v>
                </pt>
                <pt idx="7">
                  <v>118233.0708</v>
                </pt>
                <pt idx="8">
                  <v>232346.5008</v>
                </pt>
                <pt idx="9">
                  <v>108030.39</v>
                </pt>
                <pt idx="10">
                  <v>396546.2753999999</v>
                </pt>
                <pt idx="11">
                  <v>158941.4448</v>
                </pt>
                <pt idx="12">
                  <v>237921.6594</v>
                </pt>
              </numCache>
            </numRef>
          </val>
          <smooth val="0"/>
        </ser>
        <ser>
          <idx val="1"/>
          <order val="1"/>
          <tx>
            <strRef>
              <f>'Apr 2 - Apr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2958035.0298</v>
                </pt>
                <pt idx="1">
                  <v>303521.922</v>
                </pt>
                <pt idx="2">
                  <v>254800.26</v>
                </pt>
                <pt idx="3">
                  <v>122449.11</v>
                </pt>
                <pt idx="4">
                  <v>425331.036</v>
                </pt>
                <pt idx="5">
                  <v>151794.078</v>
                </pt>
                <pt idx="6">
                  <v>378196.482</v>
                </pt>
                <pt idx="7">
                  <v>134030.484</v>
                </pt>
                <pt idx="8">
                  <v>246447.822</v>
                </pt>
                <pt idx="9">
                  <v>106008.5658</v>
                </pt>
                <pt idx="10">
                  <v>380473.86</v>
                </pt>
                <pt idx="11">
                  <v>178469.166</v>
                </pt>
                <pt idx="12">
                  <v>276512.244</v>
                </pt>
              </numCache>
            </numRef>
          </val>
          <smooth val="0"/>
        </ser>
        <ser>
          <idx val="2"/>
          <order val="2"/>
          <tx>
            <strRef>
              <f>'Apr 2 - Apr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2 - Apr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2 - Apr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1869451.8</v>
                </pt>
                <pt idx="1">
                  <v>262972.5666</v>
                </pt>
                <pt idx="2">
                  <v>212787.213</v>
                </pt>
                <pt idx="3">
                  <v>121925.4966</v>
                </pt>
                <pt idx="4">
                  <v>367222.7394</v>
                </pt>
                <pt idx="5">
                  <v>165382.65</v>
                </pt>
                <pt idx="6">
                  <v>337353.9984</v>
                </pt>
                <pt idx="7">
                  <v>132901.5306</v>
                </pt>
                <pt idx="8">
                  <v>180399.8472</v>
                </pt>
                <pt idx="9">
                  <v>88505.7582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9 - Apr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1"/>
          <order val="1"/>
          <tx>
            <strRef>
              <f>'Apr 9 - Apr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2879002.138</v>
                </pt>
                <pt idx="1">
                  <v>322404.0065</v>
                </pt>
                <pt idx="2">
                  <v>233843.6795</v>
                </pt>
                <pt idx="3">
                  <v>107046.9105</v>
                </pt>
                <pt idx="4">
                  <v>455060.2095</v>
                </pt>
                <pt idx="5">
                  <v>144013.856</v>
                </pt>
                <pt idx="6">
                  <v>353631.509</v>
                </pt>
                <pt idx="7">
                  <v>119270.203</v>
                </pt>
                <pt idx="8">
                  <v>234384.628</v>
                </pt>
                <pt idx="9">
                  <v>108978.025</v>
                </pt>
                <pt idx="10">
                  <v>400024.7515</v>
                </pt>
                <pt idx="11">
                  <v>160335.668</v>
                </pt>
                <pt idx="12">
                  <v>240008.6915</v>
                </pt>
              </numCache>
            </numRef>
          </val>
          <smooth val="0"/>
        </ser>
        <ser>
          <idx val="2"/>
          <order val="2"/>
          <tx>
            <strRef>
              <f>'Apr 9 - Apr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9 - Apr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9 - Apr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1583774.4918</v>
                </pt>
                <pt idx="1">
                  <v>279289.9338</v>
                </pt>
                <pt idx="2">
                  <v>184820.847</v>
                </pt>
                <pt idx="3">
                  <v>75321.55559999999</v>
                </pt>
                <pt idx="4">
                  <v>300394.5144</v>
                </pt>
                <pt idx="5">
                  <v>126081.7884</v>
                </pt>
                <pt idx="6">
                  <v>290540.628</v>
                </pt>
                <pt idx="7">
                  <v>107629.0758</v>
                </pt>
                <pt idx="8">
                  <v>151682.8026</v>
                </pt>
                <pt idx="9">
                  <v>68013.3462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16 - Apr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1"/>
          <order val="1"/>
          <tx>
            <strRef>
              <f>'Apr 16 - Apr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2364064.993499999</v>
                </pt>
                <pt idx="1">
                  <v>238121.185</v>
                </pt>
                <pt idx="2">
                  <v>219594.8575</v>
                </pt>
                <pt idx="3">
                  <v>120943.6025</v>
                </pt>
                <pt idx="4">
                  <v>352254.8209999999</v>
                </pt>
                <pt idx="5">
                  <v>142021.596</v>
                </pt>
                <pt idx="6">
                  <v>343079.0055</v>
                </pt>
                <pt idx="7">
                  <v>138440.5535</v>
                </pt>
                <pt idx="8">
                  <v>220998.674</v>
                </pt>
                <pt idx="9">
                  <v>84428.41149999999</v>
                </pt>
                <pt idx="10">
                  <v>164805.7065</v>
                </pt>
                <pt idx="11">
                  <v>133908.047</v>
                </pt>
                <pt idx="12">
                  <v>205468.5335</v>
                </pt>
              </numCache>
            </numRef>
          </val>
          <smooth val="0"/>
        </ser>
        <ser>
          <idx val="2"/>
          <order val="2"/>
          <tx>
            <strRef>
              <f>'Apr 16 - Apr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16 - Apr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16 - Apr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1755740.3682</v>
                </pt>
                <pt idx="1">
                  <v>226149.324</v>
                </pt>
                <pt idx="2">
                  <v>229817.046</v>
                </pt>
                <pt idx="3">
                  <v>98994.11159999999</v>
                </pt>
                <pt idx="4">
                  <v>330781.146</v>
                </pt>
                <pt idx="5">
                  <v>169039.77</v>
                </pt>
                <pt idx="6">
                  <v>331280.694</v>
                </pt>
                <pt idx="7">
                  <v>119260.986</v>
                </pt>
                <pt idx="8">
                  <v>186751.266</v>
                </pt>
                <pt idx="9">
                  <v>63666.0246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23 - Apr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1"/>
          <order val="1"/>
          <tx>
            <strRef>
              <f>'Apr 23 - Apr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2341702.2545</v>
                </pt>
                <pt idx="1">
                  <v>227619.0515</v>
                </pt>
                <pt idx="2">
                  <v>197273.53</v>
                </pt>
                <pt idx="3">
                  <v>119502.3995</v>
                </pt>
                <pt idx="4">
                  <v>344611.76</v>
                </pt>
                <pt idx="5">
                  <v>172918.968</v>
                </pt>
                <pt idx="6">
                  <v>350921.9135</v>
                </pt>
                <pt idx="7">
                  <v>145714.706</v>
                </pt>
                <pt idx="8">
                  <v>231992.5245</v>
                </pt>
                <pt idx="9">
                  <v>66062.50900000001</v>
                </pt>
                <pt idx="10">
                  <v>139554.0525</v>
                </pt>
                <pt idx="11">
                  <v>122721.4105</v>
                </pt>
                <pt idx="12">
                  <v>222809.4295</v>
                </pt>
              </numCache>
            </numRef>
          </val>
          <smooth val="0"/>
        </ser>
        <ser>
          <idx val="2"/>
          <order val="2"/>
          <tx>
            <strRef>
              <f>'Apr 23 - Apr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23 - Apr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23 - Apr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1914675.6912</v>
                </pt>
                <pt idx="1">
                  <v>298021.3536</v>
                </pt>
                <pt idx="2">
                  <v>216389.8524</v>
                </pt>
                <pt idx="3">
                  <v>108355.8714</v>
                </pt>
                <pt idx="4">
                  <v>386566.3505999999</v>
                </pt>
                <pt idx="5">
                  <v>178544.7594</v>
                </pt>
                <pt idx="6">
                  <v>326398.5186</v>
                </pt>
                <pt idx="7">
                  <v>125185.0758</v>
                </pt>
                <pt idx="8">
                  <v>193691.2668</v>
                </pt>
                <pt idx="9">
                  <v>81522.64259999999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'Apr 30 - May 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1"/>
          <order val="1"/>
          <tx>
            <strRef>
              <f>'Apr 30 - May 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2563724.405499999</v>
                </pt>
                <pt idx="1">
                  <v>295203.7465</v>
                </pt>
                <pt idx="2">
                  <v>208560.527</v>
                </pt>
                <pt idx="3">
                  <v>126109.805</v>
                </pt>
                <pt idx="4">
                  <v>381447.387</v>
                </pt>
                <pt idx="5">
                  <v>148167.725</v>
                </pt>
                <pt idx="6">
                  <v>351388.181</v>
                </pt>
                <pt idx="7">
                  <v>115042.642</v>
                </pt>
                <pt idx="8">
                  <v>236706.363</v>
                </pt>
                <pt idx="9">
                  <v>89490.2055</v>
                </pt>
                <pt idx="10">
                  <v>266909.1465</v>
                </pt>
                <pt idx="11">
                  <v>129033.3005</v>
                </pt>
                <pt idx="12">
                  <v>215665.3765</v>
                </pt>
              </numCache>
            </numRef>
          </val>
          <smooth val="0"/>
        </ser>
        <ser>
          <idx val="2"/>
          <order val="2"/>
          <tx>
            <strRef>
              <f>'Apr 30 - May 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'Apr 30 - May 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'Apr 30 - May 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1801556.8428</v>
                </pt>
                <pt idx="1">
                  <v>268465.44</v>
                </pt>
                <pt idx="2">
                  <v>243261.522</v>
                </pt>
                <pt idx="3">
                  <v>99002.90099999998</v>
                </pt>
                <pt idx="4">
                  <v>308306.388</v>
                </pt>
                <pt idx="5">
                  <v>175644.36</v>
                </pt>
                <pt idx="6">
                  <v>340751.928</v>
                </pt>
                <pt idx="7">
                  <v>117742.392</v>
                </pt>
                <pt idx="8">
                  <v>180887.448</v>
                </pt>
                <pt idx="9">
                  <v>67494.4638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7 - May 13'!$B$3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1"/>
          <order val="1"/>
          <tx>
            <strRef>
              <f>'May 7 - May 13'!$C$3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2620510.911</v>
                </pt>
                <pt idx="1">
                  <v>309723.6925</v>
                </pt>
                <pt idx="2">
                  <v>216188.73</v>
                </pt>
                <pt idx="3">
                  <v>112359.002</v>
                </pt>
                <pt idx="4">
                  <v>368213.4975</v>
                </pt>
                <pt idx="5">
                  <v>195822.8165</v>
                </pt>
                <pt idx="6">
                  <v>377023.2795</v>
                </pt>
                <pt idx="7">
                  <v>122978.723</v>
                </pt>
                <pt idx="8">
                  <v>255109.79</v>
                </pt>
                <pt idx="9">
                  <v>99328.15649999998</v>
                </pt>
                <pt idx="10">
                  <v>193192.456</v>
                </pt>
                <pt idx="11">
                  <v>144844.7425</v>
                </pt>
                <pt idx="12">
                  <v>225726.025</v>
                </pt>
              </numCache>
            </numRef>
          </val>
          <smooth val="0"/>
        </ser>
        <ser>
          <idx val="2"/>
          <order val="2"/>
          <tx>
            <strRef>
              <f>'May 7 - May 13'!$D$3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7 - May 13'!$A$4:$A$20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7 - May 13'!$D$4:$D$20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1696499.094</v>
                </pt>
                <pt idx="1">
                  <v>230487.3204</v>
                </pt>
                <pt idx="2">
                  <v>190477.356</v>
                </pt>
                <pt idx="3">
                  <v>96202.662</v>
                </pt>
                <pt idx="4">
                  <v>332690.3952</v>
                </pt>
                <pt idx="5">
                  <v>185135.316</v>
                </pt>
                <pt idx="6">
                  <v>314880.6312</v>
                </pt>
                <pt idx="7">
                  <v>123490.6254</v>
                </pt>
                <pt idx="8">
                  <v>183686.376</v>
                </pt>
                <pt idx="9">
                  <v>39448.4118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14 - May 20'!$B$3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1"/>
          <order val="1"/>
          <tx>
            <strRef>
              <f>'May 14 - May 20'!$C$3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2465060.8685</v>
                </pt>
                <pt idx="1">
                  <v>273062.233</v>
                </pt>
                <pt idx="2">
                  <v>213723.475</v>
                </pt>
                <pt idx="3">
                  <v>122921.66</v>
                </pt>
                <pt idx="4">
                  <v>357525.5699999999</v>
                </pt>
                <pt idx="5">
                  <v>165839.5335</v>
                </pt>
                <pt idx="6">
                  <v>343697.7399999999</v>
                </pt>
                <pt idx="7">
                  <v>128537.8805</v>
                </pt>
                <pt idx="8">
                  <v>237333.3775</v>
                </pt>
                <pt idx="9">
                  <v>72766.9975</v>
                </pt>
                <pt idx="10">
                  <v>127554.665</v>
                </pt>
                <pt idx="11">
                  <v>164792.8265</v>
                </pt>
                <pt idx="12">
                  <v>257304.91</v>
                </pt>
              </numCache>
            </numRef>
          </val>
          <smooth val="0"/>
        </ser>
        <ser>
          <idx val="2"/>
          <order val="2"/>
          <tx>
            <strRef>
              <f>'May 14 - May 20'!$D$3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14 - May 20'!$A$4:$A$20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14 - May 20'!$D$4:$D$20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1700822.6466</v>
                </pt>
                <pt idx="1">
                  <v>192784.4652</v>
                </pt>
                <pt idx="2">
                  <v>219700.6746</v>
                </pt>
                <pt idx="3">
                  <v>124098.4506</v>
                </pt>
                <pt idx="4">
                  <v>319344.5748</v>
                </pt>
                <pt idx="5">
                  <v>177577.743</v>
                </pt>
                <pt idx="6">
                  <v>320830.257</v>
                </pt>
                <pt idx="7">
                  <v>103652.4252</v>
                </pt>
                <pt idx="8">
                  <v>170720.8368</v>
                </pt>
                <pt idx="9">
                  <v>72113.21939999999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21 - May 27'!$B$3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1"/>
          <order val="1"/>
          <tx>
            <strRef>
              <f>'May 21 - May 27'!$C$3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2051415.2295</v>
                </pt>
                <pt idx="1">
                  <v>213604.795</v>
                </pt>
                <pt idx="2">
                  <v>195955.216</v>
                </pt>
                <pt idx="3">
                  <v>91718.181</v>
                </pt>
                <pt idx="4">
                  <v>298811.998</v>
                </pt>
                <pt idx="5">
                  <v>148748.797</v>
                </pt>
                <pt idx="6">
                  <v>330866.6265</v>
                </pt>
                <pt idx="7">
                  <v>119245.11</v>
                </pt>
                <pt idx="8">
                  <v>194762.1025</v>
                </pt>
                <pt idx="9">
                  <v>47622.282</v>
                </pt>
                <pt idx="10">
                  <v>109177.1475</v>
                </pt>
                <pt idx="11">
                  <v>121823.0075</v>
                </pt>
                <pt idx="12">
                  <v>179079.9665</v>
                </pt>
              </numCache>
            </numRef>
          </val>
          <smooth val="0"/>
        </ser>
        <ser>
          <idx val="2"/>
          <order val="2"/>
          <tx>
            <strRef>
              <f>'May 21 - May 27'!$D$3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21 - May 27'!$A$4:$A$20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21 - May 27'!$D$4:$D$20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1818532.8564</v>
                </pt>
                <pt idx="1">
                  <v>266564.7635999999</v>
                </pt>
                <pt idx="2">
                  <v>177411.8502</v>
                </pt>
                <pt idx="3">
                  <v>125343.627</v>
                </pt>
                <pt idx="4">
                  <v>318817.1765999999</v>
                </pt>
                <pt idx="5">
                  <v>197336.8044</v>
                </pt>
                <pt idx="6">
                  <v>382925.5896</v>
                </pt>
                <pt idx="7">
                  <v>118424.7276</v>
                </pt>
                <pt idx="8">
                  <v>182258.0016</v>
                </pt>
                <pt idx="9">
                  <v>49450.3158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'May 28 - Jun 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1"/>
          <order val="1"/>
          <tx>
            <strRef>
              <f>'May 28 - Jun 3'!$C$3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2362997.5865</v>
                </pt>
                <pt idx="1">
                  <v>255099.5205</v>
                </pt>
                <pt idx="2">
                  <v>214635.7585</v>
                </pt>
                <pt idx="3">
                  <v>101687.4735</v>
                </pt>
                <pt idx="4">
                  <v>344683.2785</v>
                </pt>
                <pt idx="5">
                  <v>193456.4845</v>
                </pt>
                <pt idx="6">
                  <v>350859.8365</v>
                </pt>
                <pt idx="7">
                  <v>128439.084</v>
                </pt>
                <pt idx="8">
                  <v>230164.91</v>
                </pt>
                <pt idx="9">
                  <v>61139.25549999999</v>
                </pt>
                <pt idx="10">
                  <v>125713.5725</v>
                </pt>
                <pt idx="11">
                  <v>144610.2805</v>
                </pt>
                <pt idx="12">
                  <v>212508.132</v>
                </pt>
              </numCache>
            </numRef>
          </val>
          <smooth val="0"/>
        </ser>
        <ser>
          <idx val="2"/>
          <order val="2"/>
          <tx>
            <strRef>
              <f>'May 28 - Jun 3'!$D$3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'May 28 - Jun 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'May 28 - Jun 3'!$D$4:$D$20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1680888.2646</v>
                </pt>
                <pt idx="1">
                  <v>223132.998</v>
                </pt>
                <pt idx="2">
                  <v>182723.19</v>
                </pt>
                <pt idx="3">
                  <v>108279.7992</v>
                </pt>
                <pt idx="4">
                  <v>292489.002</v>
                </pt>
                <pt idx="5">
                  <v>183151.032</v>
                </pt>
                <pt idx="6">
                  <v>340070.55</v>
                </pt>
                <pt idx="7">
                  <v>126452.22</v>
                </pt>
                <pt idx="8">
                  <v>184063.602</v>
                </pt>
                <pt idx="9">
                  <v>40525.8714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4 - Jun 10'!$B$3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1"/>
          <order val="1"/>
          <tx>
            <strRef>
              <f>'Jun 4 - Jun 10'!$C$3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2318776.2455</v>
                </pt>
                <pt idx="1">
                  <v>249507.3005</v>
                </pt>
                <pt idx="2">
                  <v>203383.3075</v>
                </pt>
                <pt idx="3">
                  <v>119282.0825</v>
                </pt>
                <pt idx="4">
                  <v>374041.4214999999</v>
                </pt>
                <pt idx="5">
                  <v>148581.6215</v>
                </pt>
                <pt idx="6">
                  <v>362904.6605</v>
                </pt>
                <pt idx="7">
                  <v>128569.5745</v>
                </pt>
                <pt idx="8">
                  <v>225445.379</v>
                </pt>
                <pt idx="9">
                  <v>47655.94249999999</v>
                </pt>
                <pt idx="10">
                  <v>123453.466</v>
                </pt>
                <pt idx="11">
                  <v>145407.8975</v>
                </pt>
                <pt idx="12">
                  <v>190543.592</v>
                </pt>
              </numCache>
            </numRef>
          </val>
          <smooth val="0"/>
        </ser>
        <ser>
          <idx val="2"/>
          <order val="2"/>
          <tx>
            <strRef>
              <f>'Jun 4 - Jun 10'!$D$3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4 - Jun 10'!$A$4:$A$20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4 - Jun 10'!$D$4:$D$20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1559877.1278</v>
                </pt>
                <pt idx="1">
                  <v>194546.7</v>
                </pt>
                <pt idx="2">
                  <v>168788.286</v>
                </pt>
                <pt idx="3">
                  <v>108277.0404</v>
                </pt>
                <pt idx="4">
                  <v>292111.662</v>
                </pt>
                <pt idx="5">
                  <v>152013.756</v>
                </pt>
                <pt idx="6">
                  <v>344101.02</v>
                </pt>
                <pt idx="7">
                  <v>109126.3518</v>
                </pt>
                <pt idx="8">
                  <v>165258.96</v>
                </pt>
                <pt idx="9">
                  <v>25653.35159999999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11 - Jun 17'!$B$3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1"/>
          <order val="1"/>
          <tx>
            <strRef>
              <f>'Jun 11 - Jun 17'!$C$3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2201735.444</v>
                </pt>
                <pt idx="1">
                  <v>226121.1075</v>
                </pt>
                <pt idx="2">
                  <v>200063.4875</v>
                </pt>
                <pt idx="3">
                  <v>123465.1615</v>
                </pt>
                <pt idx="4">
                  <v>327882.7214999999</v>
                </pt>
                <pt idx="5">
                  <v>131483.985</v>
                </pt>
                <pt idx="6">
                  <v>327159.682</v>
                </pt>
                <pt idx="7">
                  <v>125528.7445</v>
                </pt>
                <pt idx="8">
                  <v>211024.4825</v>
                </pt>
                <pt idx="9">
                  <v>67894.01049999999</v>
                </pt>
                <pt idx="10">
                  <v>114671.2035</v>
                </pt>
                <pt idx="11">
                  <v>134713.668</v>
                </pt>
                <pt idx="12">
                  <v>211727.19</v>
                </pt>
              </numCache>
            </numRef>
          </val>
          <smooth val="0"/>
        </ser>
        <ser>
          <idx val="2"/>
          <order val="2"/>
          <tx>
            <strRef>
              <f>'Jun 11 - Jun 17'!$D$3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11 - Jun 17'!$A$4:$A$20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11 - Jun 17'!$D$4:$D$20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1618146.9852</v>
                </pt>
                <pt idx="1">
                  <v>240390.546</v>
                </pt>
                <pt idx="2">
                  <v>188616.42</v>
                </pt>
                <pt idx="3">
                  <v>99364.95359999999</v>
                </pt>
                <pt idx="4">
                  <v>293901.918</v>
                </pt>
                <pt idx="5">
                  <v>144357.744</v>
                </pt>
                <pt idx="6">
                  <v>340284.186</v>
                </pt>
                <pt idx="7">
                  <v>115199.622</v>
                </pt>
                <pt idx="8">
                  <v>135956.856</v>
                </pt>
                <pt idx="9">
                  <v>60074.73959999999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18 - Jun 24'!$B$3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1"/>
          <order val="1"/>
          <tx>
            <strRef>
              <f>'Jun 18 - Jun 24'!$C$3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2312870.0065</v>
                </pt>
                <pt idx="1">
                  <v>252186.881</v>
                </pt>
                <pt idx="2">
                  <v>251201.5725</v>
                </pt>
                <pt idx="3">
                  <v>117657.9375</v>
                </pt>
                <pt idx="4">
                  <v>302908.275</v>
                </pt>
                <pt idx="5">
                  <v>160493.5055</v>
                </pt>
                <pt idx="6">
                  <v>335839.8014999999</v>
                </pt>
                <pt idx="7">
                  <v>122803.7275</v>
                </pt>
                <pt idx="8">
                  <v>219619.4215</v>
                </pt>
                <pt idx="9">
                  <v>50724.085</v>
                </pt>
                <pt idx="10">
                  <v>148960.811</v>
                </pt>
                <pt idx="11">
                  <v>131624.4345</v>
                </pt>
                <pt idx="12">
                  <v>218849.554</v>
                </pt>
              </numCache>
            </numRef>
          </val>
          <smooth val="0"/>
        </ser>
        <ser>
          <idx val="2"/>
          <order val="2"/>
          <tx>
            <strRef>
              <f>'Jun 18 - Jun 24'!$D$3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18 - Jun 24'!$A$4:$A$20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18 - Jun 24'!$D$4:$D$20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1701687.3708</v>
                </pt>
                <pt idx="1">
                  <v>248213.34</v>
                </pt>
                <pt idx="2">
                  <v>206469.276</v>
                </pt>
                <pt idx="3">
                  <v>107665.4304</v>
                </pt>
                <pt idx="4">
                  <v>309815.064</v>
                </pt>
                <pt idx="5">
                  <v>148009.05</v>
                </pt>
                <pt idx="6">
                  <v>339472.05</v>
                </pt>
                <pt idx="7">
                  <v>110395.5024</v>
                </pt>
                <pt idx="8">
                  <v>163999.374</v>
                </pt>
                <pt idx="9">
                  <v>67648.284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'Jun 25 - Jul 1'!$B$3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1"/>
          <order val="1"/>
          <tx>
            <strRef>
              <f>'Jun 25 - Jul 1'!$C$3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2176873.8125</v>
                </pt>
                <pt idx="1">
                  <v>255010.499</v>
                </pt>
                <pt idx="2">
                  <v>300945.6735</v>
                </pt>
                <pt idx="3">
                  <v>113351.636</v>
                </pt>
                <pt idx="4">
                  <v>294870.9825</v>
                </pt>
                <pt idx="5">
                  <v>153460.1055</v>
                </pt>
                <pt idx="6">
                  <v>255010.499</v>
                </pt>
                <pt idx="7">
                  <v>109295.8505</v>
                </pt>
                <pt idx="8">
                  <v>198512.31</v>
                </pt>
                <pt idx="9">
                  <v>41474.0945</v>
                </pt>
                <pt idx="10">
                  <v>139389.522</v>
                </pt>
                <pt idx="11">
                  <v>124161.6245</v>
                </pt>
                <pt idx="12">
                  <v>191391.0155</v>
                </pt>
              </numCache>
            </numRef>
          </val>
          <smooth val="0"/>
        </ser>
        <ser>
          <idx val="2"/>
          <order val="2"/>
          <tx>
            <strRef>
              <f>'Jun 25 - Jul 1'!$D$3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'Jun 25 - Jul 1'!$A$4:$A$20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'Jun 25 - Jul 1'!$D$4:$D$20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1909746.1488</v>
                </pt>
                <pt idx="1">
                  <v>276857.322</v>
                </pt>
                <pt idx="2">
                  <v>227719.218</v>
                </pt>
                <pt idx="3">
                  <v>114731.652</v>
                </pt>
                <pt idx="4">
                  <v>332015.4239999999</v>
                </pt>
                <pt idx="5">
                  <v>193661.49</v>
                </pt>
                <pt idx="6">
                  <v>376781.514</v>
                </pt>
                <pt idx="7">
                  <v>128776.908</v>
                </pt>
                <pt idx="8">
                  <v>191629.782</v>
                </pt>
                <pt idx="9">
                  <v>67572.8388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2 - Jul 8'!$B$3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1"/>
          <order val="1"/>
          <tx>
            <strRef>
              <f>'Jul 2 - Jul 8'!$C$3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2600622.834</v>
                </pt>
                <pt idx="1">
                  <v>324420.175</v>
                </pt>
                <pt idx="2">
                  <v>283167.835</v>
                </pt>
                <pt idx="3">
                  <v>128034.1</v>
                </pt>
                <pt idx="4">
                  <v>412261.085</v>
                </pt>
                <pt idx="5">
                  <v>149924.465</v>
                </pt>
                <pt idx="6">
                  <v>372551.7</v>
                </pt>
                <pt idx="7">
                  <v>121594.56</v>
                </pt>
                <pt idx="8">
                  <v>227722.77</v>
                </pt>
                <pt idx="9">
                  <v>45490.50399999999</v>
                </pt>
                <pt idx="10">
                  <v>206561.045</v>
                </pt>
                <pt idx="11">
                  <v>138414.115</v>
                </pt>
                <pt idx="12">
                  <v>190480.48</v>
                </pt>
              </numCache>
            </numRef>
          </val>
          <smooth val="0"/>
        </ser>
        <ser>
          <idx val="2"/>
          <order val="2"/>
          <tx>
            <strRef>
              <f>'Jul 2 - Jul 8'!$D$3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2 - Jul 8'!$A$4:$A$20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2 - Jul 8'!$D$4:$D$20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1730906.6652</v>
                </pt>
                <pt idx="1">
                  <v>290486.478</v>
                </pt>
                <pt idx="2">
                  <v>179896.104</v>
                </pt>
                <pt idx="3">
                  <v>110253.4584</v>
                </pt>
                <pt idx="4">
                  <v>332856.6756</v>
                </pt>
                <pt idx="5">
                  <v>138932.94</v>
                </pt>
                <pt idx="6">
                  <v>338414.6658</v>
                </pt>
                <pt idx="7">
                  <v>106864.455</v>
                </pt>
                <pt idx="8">
                  <v>176645.052</v>
                </pt>
                <pt idx="9">
                  <v>56556.8364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9 - Jul 15'!$B$3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1"/>
          <order val="1"/>
          <tx>
            <strRef>
              <f>'Jul 9 - Jul 15'!$C$3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2388360.180999999</v>
                </pt>
                <pt idx="1">
                  <v>282378.0035</v>
                </pt>
                <pt idx="2">
                  <v>241097.845</v>
                </pt>
                <pt idx="3">
                  <v>109274.081</v>
                </pt>
                <pt idx="4">
                  <v>328733.273</v>
                </pt>
                <pt idx="5">
                  <v>154008</v>
                </pt>
                <pt idx="6">
                  <v>338962.0399999999</v>
                </pt>
                <pt idx="7">
                  <v>110776.7055</v>
                </pt>
                <pt idx="8">
                  <v>210470.3435</v>
                </pt>
                <pt idx="9">
                  <v>83916.5465</v>
                </pt>
                <pt idx="10">
                  <v>224616.758</v>
                </pt>
                <pt idx="11">
                  <v>116426.1495</v>
                </pt>
                <pt idx="12">
                  <v>187700.4355</v>
                </pt>
              </numCache>
            </numRef>
          </val>
          <smooth val="0"/>
        </ser>
        <ser>
          <idx val="2"/>
          <order val="2"/>
          <tx>
            <strRef>
              <f>'Jul 9 - Jul 15'!$D$3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9 - Jul 15'!$A$4:$A$20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9 - Jul 15'!$D$4:$D$20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1775345.6892</v>
                </pt>
                <pt idx="1">
                  <v>261492.972</v>
                </pt>
                <pt idx="2">
                  <v>203673.084</v>
                </pt>
                <pt idx="3">
                  <v>98425.90139999999</v>
                </pt>
                <pt idx="4">
                  <v>325311.084</v>
                </pt>
                <pt idx="5">
                  <v>156693.5358</v>
                </pt>
                <pt idx="6">
                  <v>361336.338</v>
                </pt>
                <pt idx="7">
                  <v>124060.4772</v>
                </pt>
                <pt idx="8">
                  <v>181569.3846</v>
                </pt>
                <pt idx="9">
                  <v>62782.9122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16 - Jul 22'!$B$3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1"/>
          <order val="1"/>
          <tx>
            <strRef>
              <f>'Jul 16 - Jul 22'!$C$3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2428497.0325</v>
                </pt>
                <pt idx="1">
                  <v>295284.1199999999</v>
                </pt>
                <pt idx="2">
                  <v>242308.105</v>
                </pt>
                <pt idx="3">
                  <v>103187.3035</v>
                </pt>
                <pt idx="4">
                  <v>347258.3699999999</v>
                </pt>
                <pt idx="5">
                  <v>168733.52</v>
                </pt>
                <pt idx="6">
                  <v>322983.48</v>
                </pt>
                <pt idx="7">
                  <v>115153.525</v>
                </pt>
                <pt idx="8">
                  <v>248501.315</v>
                </pt>
                <pt idx="9">
                  <v>69580.28999999999</v>
                </pt>
                <pt idx="10">
                  <v>203570.125</v>
                </pt>
                <pt idx="11">
                  <v>128252.83</v>
                </pt>
                <pt idx="12">
                  <v>183684.049</v>
                </pt>
              </numCache>
            </numRef>
          </val>
          <smooth val="0"/>
        </ser>
        <ser>
          <idx val="2"/>
          <order val="2"/>
          <tx>
            <strRef>
              <f>'Jul 16 - Jul 22'!$D$3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16 - Jul 22'!$A$4:$A$20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16 - Jul 22'!$D$4:$D$20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1814137.062</v>
                </pt>
                <pt idx="1">
                  <v>251348.682</v>
                </pt>
                <pt idx="2">
                  <v>200063.844</v>
                </pt>
                <pt idx="3">
                  <v>125206.542</v>
                </pt>
                <pt idx="4">
                  <v>364647.5819999999</v>
                </pt>
                <pt idx="5">
                  <v>159800.298</v>
                </pt>
                <pt idx="6">
                  <v>334666.836</v>
                </pt>
                <pt idx="7">
                  <v>135374.658</v>
                </pt>
                <pt idx="8">
                  <v>180191.364</v>
                </pt>
                <pt idx="9">
                  <v>62837.25599999999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151902971150207"/>
          <y val="0.03841835369172189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23 - Jul 29'!$B$3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1"/>
          <order val="1"/>
          <tx>
            <strRef>
              <f>'Jul 23 - Jul 29'!$C$3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2360880.2525</v>
                </pt>
                <pt idx="1">
                  <v>250004.733</v>
                </pt>
                <pt idx="2">
                  <v>236538.1985</v>
                </pt>
                <pt idx="3">
                  <v>99894.2095</v>
                </pt>
                <pt idx="4">
                  <v>360815.6855</v>
                </pt>
                <pt idx="5">
                  <v>158107.911</v>
                </pt>
                <pt idx="6">
                  <v>384128.773</v>
                </pt>
                <pt idx="7">
                  <v>125685.6505</v>
                </pt>
                <pt idx="8">
                  <v>215519.384</v>
                </pt>
                <pt idx="9">
                  <v>78679.734</v>
                </pt>
                <pt idx="10">
                  <v>151525.0465</v>
                </pt>
                <pt idx="11">
                  <v>115131.8015</v>
                </pt>
                <pt idx="12">
                  <v>184849.1255</v>
                </pt>
              </numCache>
            </numRef>
          </val>
          <smooth val="0"/>
        </ser>
        <ser>
          <idx val="2"/>
          <order val="2"/>
          <tx>
            <strRef>
              <f>'Jul 23 - Jul 29'!$D$3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23 - Jul 29'!$A$4:$A$20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23 - Jul 29'!$D$4:$D$20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1814460.5484</v>
                </pt>
                <pt idx="1">
                  <v>227359.092</v>
                </pt>
                <pt idx="2">
                  <v>199465.914</v>
                </pt>
                <pt idx="3">
                  <v>138165.15</v>
                </pt>
                <pt idx="4">
                  <v>349565.496</v>
                </pt>
                <pt idx="5">
                  <v>159906.774</v>
                </pt>
                <pt idx="6">
                  <v>374137.968</v>
                </pt>
                <pt idx="7">
                  <v>137934.3</v>
                </pt>
                <pt idx="8">
                  <v>173729.16</v>
                </pt>
                <pt idx="9">
                  <v>54196.69439999999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'Jul 30 - Aug 5'!$B$3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1"/>
          <order val="1"/>
          <tx>
            <strRef>
              <f>'Jul 30 - Aug 5'!$C$3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2542468.4495</v>
                </pt>
                <pt idx="1">
                  <v>288124.45</v>
                </pt>
                <pt idx="2">
                  <v>208364.866</v>
                </pt>
                <pt idx="3">
                  <v>142163.46</v>
                </pt>
                <pt idx="4">
                  <v>387776.4694999999</v>
                </pt>
                <pt idx="5">
                  <v>183051.1465</v>
                </pt>
                <pt idx="6">
                  <v>412081.8</v>
                </pt>
                <pt idx="7">
                  <v>133113.213</v>
                </pt>
                <pt idx="8">
                  <v>223734.8</v>
                </pt>
                <pt idx="9">
                  <v>76728.11500000001</v>
                </pt>
                <pt idx="10">
                  <v>144128.35</v>
                </pt>
                <pt idx="11">
                  <v>129434.0295</v>
                </pt>
                <pt idx="12">
                  <v>213767.75</v>
                </pt>
              </numCache>
            </numRef>
          </val>
          <smooth val="0"/>
        </ser>
        <ser>
          <idx val="2"/>
          <order val="2"/>
          <tx>
            <strRef>
              <f>'Jul 30 - Aug 5'!$D$3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'Jul 30 - Aug 5'!$A$4:$A$20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'Jul 30 - Aug 5'!$D$4:$D$20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1740025.89</v>
                </pt>
                <pt idx="1">
                  <v>195643.0038</v>
                </pt>
                <pt idx="2">
                  <v>176425.488</v>
                </pt>
                <pt idx="3">
                  <v>121027.758</v>
                </pt>
                <pt idx="4">
                  <v>437278.122</v>
                </pt>
                <pt idx="5">
                  <v>142579.572</v>
                </pt>
                <pt idx="6">
                  <v>332026.254</v>
                </pt>
                <pt idx="7">
                  <v>112176.4674</v>
                </pt>
                <pt idx="8">
                  <v>164502.114</v>
                </pt>
                <pt idx="9">
                  <v>58367.11079999999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6 - Aug 12'!$B$3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1"/>
          <order val="1"/>
          <tx>
            <strRef>
              <f>'Aug 6 - Aug 12'!$C$3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2532568.3525</v>
                </pt>
                <pt idx="1">
                  <v>268907.352</v>
                </pt>
                <pt idx="2">
                  <v>198892.0515</v>
                </pt>
                <pt idx="3">
                  <v>127879.4365</v>
                </pt>
                <pt idx="4">
                  <v>443807.9425</v>
                </pt>
                <pt idx="5">
                  <v>198263.358</v>
                </pt>
                <pt idx="6">
                  <v>347478.3074999999</v>
                </pt>
                <pt idx="7">
                  <v>132900.4745</v>
                </pt>
                <pt idx="8">
                  <v>236788.3005</v>
                </pt>
                <pt idx="9">
                  <v>73249.9515</v>
                </pt>
                <pt idx="10">
                  <v>144312.6375</v>
                </pt>
                <pt idx="11">
                  <v>132394.2215</v>
                </pt>
                <pt idx="12">
                  <v>227694.319</v>
                </pt>
              </numCache>
            </numRef>
          </val>
          <smooth val="0"/>
        </ser>
        <ser>
          <idx val="2"/>
          <order val="2"/>
          <tx>
            <strRef>
              <f>'Aug 6 - Aug 12'!$D$3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6 - Aug 12'!$A$4:$A$20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6 - Aug 12'!$D$4:$D$20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13 - Aug 19'!$B$3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1"/>
          <order val="1"/>
          <tx>
            <strRef>
              <f>'Aug 13 - Aug 19'!$C$3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2507940.516</v>
                </pt>
                <pt idx="1">
                  <v>325090.7399999999</v>
                </pt>
                <pt idx="2">
                  <v>187993.49</v>
                </pt>
                <pt idx="3">
                  <v>148943.745</v>
                </pt>
                <pt idx="4">
                  <v>315484.4449999999</v>
                </pt>
                <pt idx="5">
                  <v>165803.32</v>
                </pt>
                <pt idx="6">
                  <v>365933.335</v>
                </pt>
                <pt idx="7">
                  <v>135906.31</v>
                </pt>
                <pt idx="8">
                  <v>237098.95</v>
                </pt>
                <pt idx="9">
                  <v>103859.996</v>
                </pt>
                <pt idx="10">
                  <v>207232.76</v>
                </pt>
                <pt idx="11">
                  <v>123234.805</v>
                </pt>
                <pt idx="12">
                  <v>191358.62</v>
                </pt>
              </numCache>
            </numRef>
          </val>
          <smooth val="0"/>
        </ser>
        <ser>
          <idx val="2"/>
          <order val="2"/>
          <tx>
            <strRef>
              <f>'Aug 13 - Aug 19'!$D$3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13 - Aug 19'!$A$4:$A$20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13 - Aug 19'!$D$4:$D$20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1877648.4798</v>
                </pt>
                <pt idx="1">
                  <v>254404.452</v>
                </pt>
                <pt idx="2">
                  <v>216526.983</v>
                </pt>
                <pt idx="3">
                  <v>116799.7602</v>
                </pt>
                <pt idx="4">
                  <v>343726.5528</v>
                </pt>
                <pt idx="5">
                  <v>156203.826</v>
                </pt>
                <pt idx="6">
                  <v>387803.6039999999</v>
                </pt>
                <pt idx="7">
                  <v>135093.99</v>
                </pt>
                <pt idx="8">
                  <v>190541.709</v>
                </pt>
                <pt idx="9">
                  <v>76547.60279999999</v>
                </pt>
                <pt idx="10">
                  <v>0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20 - Aug 26'!$B$3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1"/>
          <order val="1"/>
          <tx>
            <strRef>
              <f>'Aug 20 - Aug 26'!$C$3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2190352.2035</v>
                </pt>
                <pt idx="1">
                  <v>238375.22</v>
                </pt>
                <pt idx="2">
                  <v>165547.8705</v>
                </pt>
                <pt idx="3">
                  <v>103053.892</v>
                </pt>
                <pt idx="4">
                  <v>296968.985</v>
                </pt>
                <pt idx="5">
                  <v>165386.353</v>
                </pt>
                <pt idx="6">
                  <v>341277.243</v>
                </pt>
                <pt idx="7">
                  <v>131497.21</v>
                </pt>
                <pt idx="8">
                  <v>223230.41</v>
                </pt>
                <pt idx="9">
                  <v>92458.0105</v>
                </pt>
                <pt idx="10">
                  <v>136141.37</v>
                </pt>
                <pt idx="11">
                  <v>107184.8645</v>
                </pt>
                <pt idx="12">
                  <v>189230.775</v>
                </pt>
              </numCache>
            </numRef>
          </val>
          <smooth val="0"/>
        </ser>
        <ser>
          <idx val="2"/>
          <order val="2"/>
          <tx>
            <strRef>
              <f>'Aug 20 - Aug 26'!$D$3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20 - Aug 26'!$A$4:$A$20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20 - Aug 26'!$D$4:$D$20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1755569.1402</v>
                </pt>
                <pt idx="1">
                  <v>225656.73</v>
                </pt>
                <pt idx="2">
                  <v>194957.214</v>
                </pt>
                <pt idx="3">
                  <v>110440.0536</v>
                </pt>
                <pt idx="4">
                  <v>302804.52</v>
                </pt>
                <pt idx="5">
                  <v>130993.296</v>
                </pt>
                <pt idx="6">
                  <v>362089.08</v>
                </pt>
                <pt idx="7">
                  <v>117634.9584</v>
                </pt>
                <pt idx="8">
                  <v>176240.0442</v>
                </pt>
                <pt idx="9">
                  <v>68763.7968</v>
                </pt>
                <pt idx="10">
                  <v>65989.4472</v>
                </pt>
                <pt idx="11">
                  <v>0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'Aug 27 - Sept 2'!$B$3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1"/>
          <order val="1"/>
          <tx>
            <strRef>
              <f>'Aug 27 - Sept 2'!$C$3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2270442.8265</v>
                </pt>
                <pt idx="1">
                  <v>240890.339</v>
                </pt>
                <pt idx="2">
                  <v>208157.6475</v>
                </pt>
                <pt idx="3">
                  <v>121823.617</v>
                </pt>
                <pt idx="4">
                  <v>316279.463</v>
                </pt>
                <pt idx="5">
                  <v>154529.6055</v>
                </pt>
                <pt idx="6">
                  <v>347351.336</v>
                </pt>
                <pt idx="7">
                  <v>138667.667</v>
                </pt>
                <pt idx="8">
                  <v>239492.652</v>
                </pt>
                <pt idx="9">
                  <v>58669.8835</v>
                </pt>
                <pt idx="10">
                  <v>130676.777</v>
                </pt>
                <pt idx="11">
                  <v>129918.743</v>
                </pt>
                <pt idx="12">
                  <v>183985.096</v>
                </pt>
              </numCache>
            </numRef>
          </val>
          <smooth val="0"/>
        </ser>
        <ser>
          <idx val="2"/>
          <order val="2"/>
          <tx>
            <strRef>
              <f>'Aug 27 - Sept 2'!$D$3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'Aug 27 - Sept 2'!$A$4:$A$20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'Aug 27 - Sept 2'!$D$4:$D$20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1949129.0676</v>
                </pt>
                <pt idx="1">
                  <v>235360.638</v>
                </pt>
                <pt idx="2">
                  <v>159578.568</v>
                </pt>
                <pt idx="3">
                  <v>126032.244</v>
                </pt>
                <pt idx="4">
                  <v>322167.876</v>
                </pt>
                <pt idx="5">
                  <v>141764.928</v>
                </pt>
                <pt idx="6">
                  <v>368737.5599999999</v>
                </pt>
                <pt idx="7">
                  <v>120541.89</v>
                </pt>
                <pt idx="8">
                  <v>177892.098</v>
                </pt>
                <pt idx="9">
                  <v>76438.8012</v>
                </pt>
                <pt idx="10">
                  <v>133789.716</v>
                </pt>
                <pt idx="11">
                  <v>86824.7484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3 - Sept 9'!$B$3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1"/>
          <order val="1"/>
          <tx>
            <strRef>
              <f>'Sept 3 - Sept 9'!$C$3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2479259.125</v>
                </pt>
                <pt idx="1">
                  <v>271124.414</v>
                </pt>
                <pt idx="2">
                  <v>230646.8405</v>
                </pt>
                <pt idx="3">
                  <v>134190.625</v>
                </pt>
                <pt idx="4">
                  <v>313774.4065</v>
                </pt>
                <pt idx="5">
                  <v>164324.121</v>
                </pt>
                <pt idx="6">
                  <v>393972.6464999999</v>
                </pt>
                <pt idx="7">
                  <v>134923.4855</v>
                </pt>
                <pt idx="8">
                  <v>264032.18</v>
                </pt>
                <pt idx="9">
                  <v>77253.711</v>
                </pt>
                <pt idx="10">
                  <v>139809.985</v>
                </pt>
                <pt idx="11">
                  <v>125212.92</v>
                </pt>
                <pt idx="12">
                  <v>229993.79</v>
                </pt>
              </numCache>
            </numRef>
          </val>
          <smooth val="0"/>
        </ser>
        <ser>
          <idx val="2"/>
          <order val="2"/>
          <tx>
            <strRef>
              <f>'Sept 3 - Sept 9'!$D$3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3 - Sept 9'!$A$4:$A$20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3 - Sept 9'!$D$4:$D$20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1932598.5774</v>
                </pt>
                <pt idx="1">
                  <v>209429.058</v>
                </pt>
                <pt idx="2">
                  <v>163422.534</v>
                </pt>
                <pt idx="3">
                  <v>113596.6794</v>
                </pt>
                <pt idx="4">
                  <v>333070.836</v>
                </pt>
                <pt idx="5">
                  <v>142713.864</v>
                </pt>
                <pt idx="6">
                  <v>352244.268</v>
                </pt>
                <pt idx="7">
                  <v>128887.146</v>
                </pt>
                <pt idx="8">
                  <v>171323.0304</v>
                </pt>
                <pt idx="9">
                  <v>63520.7316</v>
                </pt>
                <pt idx="10">
                  <v>142432.056</v>
                </pt>
                <pt idx="11">
                  <v>111958.374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10 - Sept 16'!$B$3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2349206.3725</v>
                </pt>
                <pt idx="1">
                  <v>249598.415</v>
                </pt>
                <pt idx="2">
                  <v>199412.99</v>
                </pt>
                <pt idx="3">
                  <v>94781.2635</v>
                </pt>
                <pt idx="4">
                  <v>313350.505</v>
                </pt>
                <pt idx="5">
                  <v>165021.435</v>
                </pt>
                <pt idx="6">
                  <v>365406.6695</v>
                </pt>
                <pt idx="7">
                  <v>136010.96</v>
                </pt>
                <pt idx="8">
                  <v>217504.905</v>
                </pt>
                <pt idx="9">
                  <v>72955.34449999999</v>
                </pt>
                <pt idx="10">
                  <v>163846.48</v>
                </pt>
                <pt idx="11">
                  <v>131290.555</v>
                </pt>
                <pt idx="12">
                  <v>240026.85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2126832720986013"/>
          <y val="0.0445150060317916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17 - Sept 23'!$B$3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17 - Sept 23'!$A$4:$A$20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17 - Sept 23'!$B$4:$B$20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2493208.5905</v>
                </pt>
                <pt idx="1">
                  <v>284829.93</v>
                </pt>
                <pt idx="2">
                  <v>193025.315</v>
                </pt>
                <pt idx="3">
                  <v>125649.92</v>
                </pt>
                <pt idx="4">
                  <v>333141.89</v>
                </pt>
                <pt idx="5">
                  <v>140689.965</v>
                </pt>
                <pt idx="6">
                  <v>350342.4399999999</v>
                </pt>
                <pt idx="7">
                  <v>163829.92</v>
                </pt>
                <pt idx="8">
                  <v>238601.655</v>
                </pt>
                <pt idx="9">
                  <v>100227.1805</v>
                </pt>
                <pt idx="10">
                  <v>196317.765</v>
                </pt>
                <pt idx="11">
                  <v>132532.44</v>
                </pt>
                <pt idx="12">
                  <v>234020.17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1353245192069753"/>
          <y val="0.02622521216880951"/>
          <w val="0.9694774771310489"/>
          <h val="0.7364781550139948"/>
        </manualLayout>
      </layout>
      <lineChart>
        <grouping val="standard"/>
        <varyColors val="0"/>
        <ser>
          <idx val="0"/>
          <order val="0"/>
          <tx>
            <strRef>
              <f>'Sept 24 - Sept 30'!$B$3</f>
              <strCache>
                <ptCount val="1"/>
                <pt idx="0">
                  <v>Turnover Gross</v>
                </pt>
              </strCache>
            </strRef>
          </tx>
          <spPr>
            <a:ln w="22225" cap="rnd" cmpd="sng" algn="ctr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24 - Sept 30'!$A$4:$A$20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24 - Sept 30'!$B$4:$B$20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2750452.3435</v>
                </pt>
                <pt idx="1">
                  <v>326694.323</v>
                </pt>
                <pt idx="2">
                  <v>226348.52</v>
                </pt>
                <pt idx="3">
                  <v>130222.527</v>
                </pt>
                <pt idx="4">
                  <v>404283.7535</v>
                </pt>
                <pt idx="5">
                  <v>162458.2</v>
                </pt>
                <pt idx="6">
                  <v>377915.53</v>
                </pt>
                <pt idx="7">
                  <v>151287.56</v>
                </pt>
                <pt idx="8">
                  <v>247739.555</v>
                </pt>
                <pt idx="9">
                  <v>92254.16149999999</v>
                </pt>
                <pt idx="10">
                  <v>223466.045</v>
                </pt>
                <pt idx="11">
                  <v>161381.455</v>
                </pt>
                <pt idx="12">
                  <v>246400.7135</v>
                </pt>
              </numCache>
            </numRef>
          </val>
          <smooth val="0"/>
        </ser>
        <ser>
          <idx val="1"/>
          <order val="1"/>
          <tx>
            <strRef>
              <f>'Sept 10 - Sept 16'!$C$3</f>
              <strCache>
                <ptCount val="1"/>
                <pt idx="0">
                  <v>LAST WEEK  (Gross)</v>
                </pt>
              </strCache>
            </strRef>
          </tx>
          <spPr>
            <a:ln w="22225" cap="rnd" cmpd="sng" algn="ctr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16'!$C$4:$C$20</f>
              <numCache>
                <formatCode>#\ ##0.00;\(#\ ##0.00\)</formatCode>
                <ptCount val="13"/>
                <pt idx="0">
                  <formatCode xml:space="preserve">_ * #\ ##0.00_ ;_ * \-#\ ##0.00_ ;_ * "-"??_ ;_ @_ </formatCode>
                  <v>2320090.235499999</v>
                </pt>
                <pt idx="1">
                  <v>245547.6435</v>
                </pt>
                <pt idx="2">
                  <v>214721.79</v>
                </pt>
                <pt idx="3">
                  <v>103442.1205</v>
                </pt>
                <pt idx="4">
                  <v>290044.1335</v>
                </pt>
                <pt idx="5">
                  <v>156273.615</v>
                </pt>
                <pt idx="6">
                  <v>356770.2385</v>
                </pt>
                <pt idx="7">
                  <v>125667.6415</v>
                </pt>
                <pt idx="8">
                  <v>246727.2215</v>
                </pt>
                <pt idx="9">
                  <v>70449.36799999999</v>
                </pt>
                <pt idx="10">
                  <v>150119.643</v>
                </pt>
                <pt idx="11">
                  <v>136332.3735</v>
                </pt>
                <pt idx="12">
                  <v>223994.447</v>
                </pt>
              </numCache>
            </numRef>
          </val>
          <smooth val="0"/>
        </ser>
        <ser>
          <idx val="2"/>
          <order val="2"/>
          <tx>
            <strRef>
              <f>'Sept 10 - Sept 16'!$D$3</f>
              <strCache>
                <ptCount val="1"/>
                <pt idx="0">
                  <v>LAST YEAR (Gross)</v>
                </pt>
              </strCache>
            </strRef>
          </tx>
          <spPr>
            <a:ln w="22225" cap="rnd" cmpd="sng" algn="ctr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strRef>
              <f>'Sept 10 - Sept 16'!$A$4:$A$20</f>
              <strCache>
                <ptCount val="13"/>
                <pt idx="0">
                  <v xml:space="preserve"> GROUP TOTAL </v>
                </pt>
                <pt idx="1">
                  <v>Irene Village</v>
                </pt>
                <pt idx="2">
                  <v>Melrose Arch</v>
                </pt>
                <pt idx="3">
                  <v>Melville</v>
                </pt>
                <pt idx="4">
                  <v>Rosebank</v>
                </pt>
                <pt idx="5">
                  <v xml:space="preserve">Waterkloof </v>
                </pt>
                <pt idx="6">
                  <v>Eagles Landing</v>
                </pt>
                <pt idx="7">
                  <v>Stellenbosch</v>
                </pt>
                <pt idx="8">
                  <v>Lynnwood</v>
                </pt>
                <pt idx="9">
                  <v>Wellington</v>
                </pt>
                <pt idx="10">
                  <v>Hartenbos</v>
                </pt>
                <pt idx="11">
                  <v>Kyalami Corner</v>
                </pt>
                <pt idx="12">
                  <v>Paulshof</v>
                </pt>
              </strCache>
            </strRef>
          </cat>
          <val>
            <numRef>
              <f>'Sept 10 - Sept 16'!$D$4:$D$20</f>
              <numCache>
                <formatCode>#,##0.00</formatCode>
                <ptCount val="13"/>
                <pt idx="0">
                  <formatCode xml:space="preserve">_ * #\ ##0.00_ ;_ * \-#\ ##0.00_ ;_ * "-"??_ ;_ @_ </formatCode>
                  <v>1950875.0802</v>
                </pt>
                <pt idx="1">
                  <v>229273.5624</v>
                </pt>
                <pt idx="2">
                  <v>175260.8754</v>
                </pt>
                <pt idx="3">
                  <v>108731.1024</v>
                </pt>
                <pt idx="4">
                  <v>347623.0842</v>
                </pt>
                <pt idx="5">
                  <v>128020.4838</v>
                </pt>
                <pt idx="6">
                  <v>319532.5607999999</v>
                </pt>
                <pt idx="7">
                  <v>111526.941</v>
                </pt>
                <pt idx="8">
                  <v>177204.1308</v>
                </pt>
                <pt idx="9">
                  <v>64937.7972</v>
                </pt>
                <pt idx="10">
                  <v>157703.8722</v>
                </pt>
                <pt idx="11">
                  <v>131060.67</v>
                </pt>
                <pt idx="12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9493272"/>
        <axId val="439493664"/>
      </lineChart>
      <catAx>
        <axId val="43949327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_ * #\ ##0.00_ ;_ * \-#\ ##0.00_ ;_ * &quot;-&quot;??_ ;_ @_ " sourceLinked="1"/>
        <majorTickMark val="none"/>
        <minorTickMark val="none"/>
        <tickLblPos val="nextTo"/>
        <crossAx val="4394932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1 - Oct 7'!$D$4:$D$20</f>
              <strCache>
                <ptCount val="1"/>
                <pt idx="0">
                  <v xml:space="preserve"> 1 932 686.17  267 137.07 156 197.63 98 441.26 318 589.14 116 675.57 301 916.12 103 319.24 166 104.99 55 646.70 208 517.65 140 140.80 0.00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1 - Oct 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7'!$D$5:$D$20</f>
              <numCache>
                <formatCode>#,##0.00</formatCode>
                <ptCount val="12"/>
                <pt idx="0">
                  <v>267137.07</v>
                </pt>
                <pt idx="1">
                  <v>156197.63</v>
                </pt>
                <pt idx="2">
                  <v>98441.25999999999</v>
                </pt>
                <pt idx="3">
                  <v>318589.14</v>
                </pt>
                <pt idx="4">
                  <v>116675.57</v>
                </pt>
                <pt idx="5">
                  <v>301916.12</v>
                </pt>
                <pt idx="6">
                  <v>103319.24</v>
                </pt>
                <pt idx="7">
                  <v>166104.99</v>
                </pt>
                <pt idx="8">
                  <v>55646.7</v>
                </pt>
                <pt idx="9">
                  <v>208517.65</v>
                </pt>
                <pt idx="10">
                  <v>140140.8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1 - Oct 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1 - Oct 7'!$A$5:$A$20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1 - Oct 7'!$F$5:$F$20</f>
              <numCache>
                <formatCode>#,##0.00</formatCode>
                <ptCount val="12"/>
                <pt idx="0">
                  <v>264457.4</v>
                </pt>
                <pt idx="1">
                  <v>192361</v>
                </pt>
                <pt idx="2">
                  <v>99034.45</v>
                </pt>
                <pt idx="3">
                  <v>341106.4</v>
                </pt>
                <pt idx="4">
                  <v>127538.2</v>
                </pt>
                <pt idx="5">
                  <v>314738.1</v>
                </pt>
                <pt idx="6">
                  <v>122013.7</v>
                </pt>
                <pt idx="7">
                  <v>205792.4</v>
                </pt>
                <pt idx="8">
                  <v>110538.8</v>
                </pt>
                <pt idx="9">
                  <v>247604.5</v>
                </pt>
                <pt idx="10">
                  <v>137044.5</v>
                </pt>
                <pt idx="11">
                  <v>204294.8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8 - Oct 14'!$D$4:$D$20</f>
              <strCache>
                <ptCount val="1"/>
                <pt idx="0">
                  <v xml:space="preserve"> 1 780 522.41  183 776.70 147 168.41 107 836.00 332 973.77 146 403.07 308 858.84 103 558.72 156 513.94 50 011.70 124 352.66 119 068.60 0.00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8 - Oct 14'!$D$3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14'!$D$5:$D$20</f>
              <numCache>
                <formatCode>#,##0.00</formatCode>
                <ptCount val="12"/>
                <pt idx="0">
                  <v>183776.7</v>
                </pt>
                <pt idx="1">
                  <v>147168.41</v>
                </pt>
                <pt idx="2">
                  <v>107836</v>
                </pt>
                <pt idx="3">
                  <v>332973.77</v>
                </pt>
                <pt idx="4">
                  <v>146403.07</v>
                </pt>
                <pt idx="5">
                  <v>308858.84</v>
                </pt>
                <pt idx="6">
                  <v>103558.72</v>
                </pt>
                <pt idx="7">
                  <v>156513.94</v>
                </pt>
                <pt idx="8">
                  <v>50011.7</v>
                </pt>
                <pt idx="9">
                  <v>124352.66</v>
                </pt>
                <pt idx="10">
                  <v>119068.6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8 - Oct 14'!$F$3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8 - Oct 14'!$A$5:$A$20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8 - Oct 14'!$F$5:$F$20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9">
                  <v>146937.33</v>
                </pt>
                <pt idx="10">
                  <v>111304.3</v>
                </pt>
                <pt idx="11">
                  <v>190925.5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15 - Oct 21'!$D$4:$D$20</f>
              <strCache>
                <ptCount val="1"/>
                <pt idx="0">
                  <v xml:space="preserve"> 1 677 359.30  167 995.56 143 043.30 89 631.36 287 904.20 113 690.75 275 690.60 116 467.80 164 374.38 57 855.83 130 157.34 130 548.18 0.00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15 - Oct 21'!$D$3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21'!$D$5:$D$20</f>
              <numCache>
                <formatCode>#,##0.00</formatCode>
                <ptCount val="12"/>
                <pt idx="0">
                  <v>167995.56</v>
                </pt>
                <pt idx="1">
                  <v>143043.3</v>
                </pt>
                <pt idx="2">
                  <v>89631.36</v>
                </pt>
                <pt idx="3">
                  <v>287904.2</v>
                </pt>
                <pt idx="4">
                  <v>113690.75</v>
                </pt>
                <pt idx="5">
                  <v>275690.6</v>
                </pt>
                <pt idx="6">
                  <v>116467.8</v>
                </pt>
                <pt idx="7">
                  <v>164374.38</v>
                </pt>
                <pt idx="8">
                  <v>57855.83</v>
                </pt>
                <pt idx="9">
                  <v>130157.34</v>
                </pt>
                <pt idx="10">
                  <v>130548.18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15 - Oct 21'!$F$3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15 - Oct 21'!$A$5:$A$20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15 - Oct 21'!$F$5:$F$20</f>
              <numCache>
                <formatCode>#,##0.00</formatCode>
                <ptCount val="12"/>
                <pt idx="0">
                  <v>231844.3</v>
                </pt>
                <pt idx="1">
                  <v>0</v>
                </pt>
                <pt idx="2">
                  <v>80789.17</v>
                </pt>
                <pt idx="3">
                  <v>377913.2</v>
                </pt>
                <pt idx="4">
                  <v>129317.7</v>
                </pt>
                <pt idx="5">
                  <v>314124.4</v>
                </pt>
                <pt idx="6">
                  <v>122918.1</v>
                </pt>
                <pt idx="7">
                  <v>200137</v>
                </pt>
                <pt idx="9">
                  <v>137169.71</v>
                </pt>
                <pt idx="10">
                  <v>110320.9</v>
                </pt>
                <pt idx="11">
                  <v>204905.5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22 - Oct 28'!$D$4:$D$20</f>
              <strCache>
                <ptCount val="1"/>
                <pt idx="0">
                  <v>1 919 517.55 206 852.71 180 079.74 97 166.76 343 316.43 157 623.12 307 699.22 131 664.33 163 399.93 70 398.48 135 240.21 126 076.62 0.00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22 - Oct 28'!$D$3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28'!$D$5:$D$20</f>
              <numCache>
                <formatCode>#,##0.00</formatCode>
                <ptCount val="12"/>
                <pt idx="0">
                  <v>206852.71</v>
                </pt>
                <pt idx="1">
                  <v>180079.74</v>
                </pt>
                <pt idx="2">
                  <v>97166.75999999999</v>
                </pt>
                <pt idx="3">
                  <v>343316.43</v>
                </pt>
                <pt idx="4">
                  <v>157623.12</v>
                </pt>
                <pt idx="5">
                  <v>307699.22</v>
                </pt>
                <pt idx="6">
                  <v>131664.33</v>
                </pt>
                <pt idx="7">
                  <v>163399.93</v>
                </pt>
                <pt idx="8">
                  <v>70398.48</v>
                </pt>
                <pt idx="9">
                  <v>135240.21</v>
                </pt>
                <pt idx="10">
                  <v>126076.62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22 - Oct 28'!$F$3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22 - Oct 28'!$A$5:$A$20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22 - Oct 28'!$F$5:$F$20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91370</v>
                </pt>
                <pt idx="9">
                  <v>158104.99</v>
                </pt>
                <pt idx="10">
                  <v>115349.58</v>
                </pt>
                <pt idx="11">
                  <v>216726.79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'Oct 29 - Nov 4'!$D$4:$D$20</f>
              <strCache>
                <ptCount val="1"/>
                <pt idx="0">
                  <v>1 885 293.60 214 692.91 168 207.64 109 507.04 313 646.24 138 952.47 310 637.79 120 528.82 175 227.69 77 158.52 134 831.36 121 903.12 0.00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'Oct 29 - Nov 4'!$D$3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4'!$D$5:$D$20</f>
              <numCache>
                <formatCode>#,##0.00</formatCode>
                <ptCount val="12"/>
                <pt idx="0">
                  <v>214692.91</v>
                </pt>
                <pt idx="1">
                  <v>168207.64</v>
                </pt>
                <pt idx="2">
                  <v>109507.04</v>
                </pt>
                <pt idx="3">
                  <v>313646.24</v>
                </pt>
                <pt idx="4">
                  <v>138952.47</v>
                </pt>
                <pt idx="5">
                  <v>310637.79</v>
                </pt>
                <pt idx="6">
                  <v>120528.82</v>
                </pt>
                <pt idx="7">
                  <v>175227.69</v>
                </pt>
                <pt idx="8">
                  <v>77158.52</v>
                </pt>
                <pt idx="9">
                  <v>134831.36</v>
                </pt>
                <pt idx="10">
                  <v>121903.12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'Oct 29 - Nov 4'!$F$3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'Oct 29 - Nov 4'!$A$5:$A$20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'Oct 29 - Nov 4'!$F$5:$F$20</f>
              <numCache>
                <formatCode>#,##0.00</formatCode>
                <ptCount val="12"/>
                <pt idx="0">
                  <v>240216.2</v>
                </pt>
                <pt idx="1">
                  <v>149101.4</v>
                </pt>
                <pt idx="2">
                  <v>116744.1</v>
                </pt>
                <pt idx="3">
                  <v>308190.8</v>
                </pt>
                <pt idx="4">
                  <v>125359.7</v>
                </pt>
                <pt idx="5">
                  <v>357361.2</v>
                </pt>
                <pt idx="6">
                  <v>137659.5</v>
                </pt>
                <pt idx="7">
                  <v>219864.7</v>
                </pt>
                <pt idx="8">
                  <v>80509.12</v>
                </pt>
                <pt idx="9">
                  <v>171766.3</v>
                </pt>
                <pt idx="10">
                  <v>113012.4</v>
                </pt>
                <pt idx="11">
                  <v>186727.7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5 - Nov 11'!$D$4:$D$20</f>
              <strCache>
                <ptCount val="1"/>
                <pt idx="0">
                  <v>1 801 521.42 177 081.90 155 216.00 104 402.39 291 843.17 139 503.55 323 410.50 106 049.44 173 981.77 74 986.80 138 986.00 116 059.90 0.00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5 - Nov 11'!$D$3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11'!$D$5:$D$20</f>
              <numCache>
                <formatCode>#,##0.00</formatCode>
                <ptCount val="12"/>
                <pt idx="0">
                  <v>177081.9</v>
                </pt>
                <pt idx="1">
                  <v>155216</v>
                </pt>
                <pt idx="2">
                  <v>104402.39</v>
                </pt>
                <pt idx="3">
                  <v>291843.17</v>
                </pt>
                <pt idx="4">
                  <v>139503.55</v>
                </pt>
                <pt idx="5">
                  <v>323410.5</v>
                </pt>
                <pt idx="6">
                  <v>106049.44</v>
                </pt>
                <pt idx="7">
                  <v>173981.77</v>
                </pt>
                <pt idx="8">
                  <v>74986.8</v>
                </pt>
                <pt idx="9">
                  <v>138986</v>
                </pt>
                <pt idx="10">
                  <v>116059.9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5 - Nov 11'!$F$3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5 - Nov 11'!$A$5:$A$20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5 - Nov 11'!$F$5:$F$20</f>
              <numCache>
                <formatCode>#,##0.00</formatCode>
                <ptCount val="12"/>
                <pt idx="0">
                  <v>230376.85</v>
                </pt>
                <pt idx="1">
                  <v>179981.9</v>
                </pt>
                <pt idx="2">
                  <v>116486.4</v>
                </pt>
                <pt idx="3">
                  <v>322539.8</v>
                </pt>
                <pt idx="4">
                  <v>142319</v>
                </pt>
                <pt idx="5">
                  <v>325055.4</v>
                </pt>
                <pt idx="6">
                  <v>128157.5</v>
                </pt>
                <pt idx="7">
                  <v>209425</v>
                </pt>
                <pt idx="8">
                  <v>98147.38</v>
                </pt>
                <pt idx="9">
                  <v>164453.7</v>
                </pt>
                <pt idx="10">
                  <v>111401.3</v>
                </pt>
                <pt idx="11">
                  <v>242297.9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12 - Nov 18'!$D$4:$D$20</f>
              <strCache>
                <ptCount val="1"/>
                <pt idx="0">
                  <v>1 847 434.61 202 857.50 183 476.04 102 243.30 275 301.94 133 657.30 310 506.40 105 931.30 190 299.10 85 948.17 131 313.10 125 900.46 0.00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12 - Nov 18'!$D$3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18'!$D$5:$D$20</f>
              <numCache>
                <formatCode>#,##0.00</formatCode>
                <ptCount val="12"/>
                <pt idx="0">
                  <v>202857.5</v>
                </pt>
                <pt idx="1">
                  <v>183476.04</v>
                </pt>
                <pt idx="2">
                  <v>102243.3</v>
                </pt>
                <pt idx="3">
                  <v>275301.94</v>
                </pt>
                <pt idx="4">
                  <v>133657.3</v>
                </pt>
                <pt idx="5">
                  <v>310506.4</v>
                </pt>
                <pt idx="6">
                  <v>105931.3</v>
                </pt>
                <pt idx="7">
                  <v>190299.1</v>
                </pt>
                <pt idx="8">
                  <v>85948.17</v>
                </pt>
                <pt idx="9">
                  <v>131313.1</v>
                </pt>
                <pt idx="10">
                  <v>125900.46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12 - Nov 18'!$F$3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12 - Nov 18'!$A$5:$A$20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12 - Nov 18'!$F$5:$F$20</f>
              <numCache>
                <formatCode>#,##0.00</formatCode>
                <ptCount val="12"/>
                <pt idx="0">
                  <v>230527.2</v>
                </pt>
                <pt idx="1">
                  <v>313293.7</v>
                </pt>
                <pt idx="2">
                  <v>121201.1</v>
                </pt>
                <pt idx="3">
                  <v>354340.7</v>
                </pt>
                <pt idx="4">
                  <v>133992.3</v>
                </pt>
                <pt idx="5">
                  <v>309782.7</v>
                </pt>
                <pt idx="6">
                  <v>137174.3</v>
                </pt>
                <pt idx="7">
                  <v>199894.3</v>
                </pt>
                <pt idx="8">
                  <v>89631.28999999999</v>
                </pt>
                <pt idx="9">
                  <v>154493.5</v>
                </pt>
                <pt idx="10">
                  <v>128338.69</v>
                </pt>
                <pt idx="11">
                  <v>230025.6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19 - Nov 25'!$D$4:$D$20</f>
              <strCache>
                <ptCount val="1"/>
                <pt idx="0">
                  <v>2 029 682.86 225 596.02 212 727.33 135 603.13 298 303.36 140 595.30 352 327.48 114 548.15 197 072.43 80 963.73 133 326.16 138 619.77 0.00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19 - Nov 25'!$D$3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25'!$D$5:$D$20</f>
              <numCache>
                <formatCode>#,##0.00</formatCode>
                <ptCount val="12"/>
                <pt idx="0">
                  <v>225596.02</v>
                </pt>
                <pt idx="1">
                  <v>212727.33</v>
                </pt>
                <pt idx="2">
                  <v>135603.13</v>
                </pt>
                <pt idx="3">
                  <v>298303.36</v>
                </pt>
                <pt idx="4">
                  <v>140595.3</v>
                </pt>
                <pt idx="5">
                  <v>352327.48</v>
                </pt>
                <pt idx="6">
                  <v>114548.15</v>
                </pt>
                <pt idx="7">
                  <v>197072.43</v>
                </pt>
                <pt idx="8">
                  <v>80963.73</v>
                </pt>
                <pt idx="9">
                  <v>133326.16</v>
                </pt>
                <pt idx="10">
                  <v>138619.77</v>
                </pt>
                <pt idx="11">
                  <v>0</v>
                </pt>
              </numCache>
            </numRef>
          </val>
        </ser>
        <ser>
          <idx val="3"/>
          <order val="1"/>
          <tx>
            <strRef>
              <f>'Nov 19 - Nov 25'!$F$3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19 - Nov 25'!$A$5:$A$20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19 - Nov 25'!$F$5:$F$20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109266.08</v>
                </pt>
                <pt idx="9">
                  <v>157729.49</v>
                </pt>
                <pt idx="10">
                  <v>125199.1</v>
                </pt>
                <pt idx="11">
                  <v>223473.37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'Nov 26 - Dec 2'!$D$4:$D$20</f>
              <strCache>
                <ptCount val="1"/>
                <pt idx="0">
                  <v>2 271 154.92 275 995.90 276 237.50 124 869.20 314 726.60 158 523.30 372 248.90 131 328.30 240 200.30 70 352.72 163 148.30 143 523.90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'Nov 26 - Dec 2'!$D$3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2'!$D$5:$D$20</f>
              <numCache>
                <formatCode>#,##0.00</formatCode>
                <ptCount val="12"/>
                <pt idx="0">
                  <v>275995.9</v>
                </pt>
                <pt idx="1">
                  <v>276237.5</v>
                </pt>
                <pt idx="2">
                  <v>124869.2</v>
                </pt>
                <pt idx="3">
                  <v>314726.6</v>
                </pt>
                <pt idx="4">
                  <v>158523.3</v>
                </pt>
                <pt idx="5">
                  <v>372248.9</v>
                </pt>
                <pt idx="6">
                  <v>131328.3</v>
                </pt>
                <pt idx="7">
                  <v>240200.3</v>
                </pt>
                <pt idx="8">
                  <v>70352.72</v>
                </pt>
                <pt idx="9">
                  <v>163148.3</v>
                </pt>
                <pt idx="10">
                  <v>143523.9</v>
                </pt>
              </numCache>
            </numRef>
          </val>
        </ser>
        <ser>
          <idx val="3"/>
          <order val="1"/>
          <tx>
            <strRef>
              <f>'Nov 26 - Dec 2'!$F$3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'Nov 26 - Dec 2'!$A$5:$A$20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'Nov 26 - Dec 2'!$F$5:$F$20</f>
              <numCache>
                <formatCode>#,##0.00</formatCode>
                <ptCount val="12"/>
                <pt idx="0">
                  <v>323437.12</v>
                </pt>
                <pt idx="1">
                  <v>338183.9</v>
                </pt>
                <pt idx="2">
                  <v>134962.8</v>
                </pt>
                <pt idx="3">
                  <v>420853.2</v>
                </pt>
                <pt idx="4">
                  <v>170438.2</v>
                </pt>
                <pt idx="5">
                  <v>357727.6</v>
                </pt>
                <pt idx="6">
                  <v>145174.03</v>
                </pt>
                <pt idx="7">
                  <v>291527.74</v>
                </pt>
                <pt idx="8">
                  <v>110705.21</v>
                </pt>
                <pt idx="9">
                  <v>204683.2</v>
                </pt>
                <pt idx="10">
                  <v>160866.38</v>
                </pt>
                <pt idx="11">
                  <v>241469.2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3 - Dec 9'!$D$4:$D$20</f>
              <strCache>
                <ptCount val="1"/>
                <pt idx="0">
                  <v>2 420 931.03 269 307.00 318 577.51 128 340.30 345 474.70 160 121.50 379 493.81 147 431.50 171 313.20 118 654.30 214 615.80 167 601.41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3 - Dec 9'!$D$3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9'!$D$5:$D$20</f>
              <numCache>
                <formatCode>#,##0.00</formatCode>
                <ptCount val="12"/>
                <pt idx="0">
                  <v>269307</v>
                </pt>
                <pt idx="1">
                  <v>318577.51</v>
                </pt>
                <pt idx="2">
                  <v>128340.3</v>
                </pt>
                <pt idx="3">
                  <v>345474.7</v>
                </pt>
                <pt idx="4">
                  <v>160121.5</v>
                </pt>
                <pt idx="5">
                  <v>379493.81</v>
                </pt>
                <pt idx="6">
                  <v>147431.5</v>
                </pt>
                <pt idx="7">
                  <v>171313.2</v>
                </pt>
                <pt idx="8">
                  <v>118654.3</v>
                </pt>
                <pt idx="9">
                  <v>214615.8</v>
                </pt>
                <pt idx="10">
                  <v>167601.41</v>
                </pt>
              </numCache>
            </numRef>
          </val>
        </ser>
        <ser>
          <idx val="3"/>
          <order val="1"/>
          <tx>
            <strRef>
              <f>'Dec 3 - Dec 9'!$F$3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3 - Dec 9'!$A$5:$A$20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3 - Dec 9'!$F$5:$F$20</f>
              <numCache>
                <formatCode>#,##0.00</formatCode>
                <ptCount val="12"/>
                <pt idx="0">
                  <v>320822.5</v>
                </pt>
                <pt idx="1">
                  <v>391424.7</v>
                </pt>
                <pt idx="2">
                  <v>164133.6</v>
                </pt>
                <pt idx="3">
                  <v>447806</v>
                </pt>
                <pt idx="4">
                  <v>148868.3</v>
                </pt>
                <pt idx="5">
                  <v>371134</v>
                </pt>
                <pt idx="6">
                  <v>150125.5</v>
                </pt>
                <pt idx="7">
                  <v>274465.5</v>
                </pt>
                <pt idx="9">
                  <v>271640.7</v>
                </pt>
                <pt idx="10">
                  <v>164090.6</v>
                </pt>
                <pt idx="11">
                  <v>227826.2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10 - Dec 16'!$D$4:$D$20</f>
              <strCache>
                <ptCount val="1"/>
                <pt idx="0">
                  <v>2 983 005.64 288 516.63 391 098.82 115 154.21 380 716.39 131 449.60 360 086.00 129 849.23 222 361.21 148 791.00 369 228.00 152 929.95 292 824.60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10 - Dec 16'!$D$3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16'!$D$5:$D$20</f>
              <numCache>
                <formatCode>#,##0.00</formatCode>
                <ptCount val="12"/>
                <pt idx="0">
                  <v>288516.63</v>
                </pt>
                <pt idx="1">
                  <v>391098.82</v>
                </pt>
                <pt idx="2">
                  <v>115154.21</v>
                </pt>
                <pt idx="3">
                  <v>380716.39</v>
                </pt>
                <pt idx="4">
                  <v>131449.6</v>
                </pt>
                <pt idx="5">
                  <v>360086</v>
                </pt>
                <pt idx="6">
                  <v>129849.23</v>
                </pt>
                <pt idx="7">
                  <v>222361.21</v>
                </pt>
                <pt idx="8">
                  <v>148791</v>
                </pt>
                <pt idx="9">
                  <v>369228</v>
                </pt>
                <pt idx="10">
                  <v>152929.95</v>
                </pt>
                <pt idx="11">
                  <v>292824.6</v>
                </pt>
              </numCache>
            </numRef>
          </val>
        </ser>
        <ser>
          <idx val="3"/>
          <order val="1"/>
          <tx>
            <strRef>
              <f>'Dec 10 - Dec 16'!$F$3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10 - Dec 16'!$A$5:$A$20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10 - Dec 16'!$F$5:$F$20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414897.03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9">
                  <v>413155.48</v>
                </pt>
                <pt idx="10">
                  <v>179982.05</v>
                </pt>
                <pt idx="11">
                  <v>232833.57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17 - Dec 23'!$D$4:$D$20</f>
              <strCache>
                <ptCount val="1"/>
                <pt idx="0">
                  <v>2 914 443.88 279 475.14 412 132.74 93 419.36 324 548.83 84 328.90 292 360.17 128 839.67 183 199.92 110 006.30 611 913.13 118 220.82 275 998.90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17 - Dec 23'!$D$3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23'!$D$5:$D$20</f>
              <numCache>
                <formatCode>#,##0.00</formatCode>
                <ptCount val="12"/>
                <pt idx="0">
                  <v>279475.14</v>
                </pt>
                <pt idx="1">
                  <v>412132.74</v>
                </pt>
                <pt idx="2">
                  <v>93419.36</v>
                </pt>
                <pt idx="3">
                  <v>324548.83</v>
                </pt>
                <pt idx="4">
                  <v>84328.89999999999</v>
                </pt>
                <pt idx="5">
                  <v>292360.17</v>
                </pt>
                <pt idx="6">
                  <v>128839.67</v>
                </pt>
                <pt idx="7">
                  <v>183199.92</v>
                </pt>
                <pt idx="8">
                  <v>110006.3</v>
                </pt>
                <pt idx="9">
                  <v>611913.13</v>
                </pt>
                <pt idx="10">
                  <v>118220.82</v>
                </pt>
                <pt idx="11">
                  <v>275998.9</v>
                </pt>
              </numCache>
            </numRef>
          </val>
        </ser>
        <ser>
          <idx val="3"/>
          <order val="1"/>
          <tx>
            <strRef>
              <f>'Dec 17 - Dec 23'!$F$3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17 - Dec 23'!$A$5:$A$20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17 - Dec 23'!$F$5:$F$20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9">
                  <v>735480.34</v>
                </pt>
                <pt idx="10">
                  <v>129028.04</v>
                </pt>
                <pt idx="11">
                  <v>230910.65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24 - Dec 30'!$D$4:$D$20</f>
              <strCache>
                <ptCount val="1"/>
                <pt idx="0">
                  <v xml:space="preserve">2 505 808.06 268 379.66 247 039.76 50 611.88 232 083.31 100 241.89 243 609.74 105 293.60 137 786.37 171 612.08 703 760.14 90 692.88  154 696.75 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24 - Dec 30'!$D$3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30'!$D$5:$D$20</f>
              <numCache>
                <formatCode>#,##0.00</formatCode>
                <ptCount val="12"/>
                <pt idx="0">
                  <v>268379.66</v>
                </pt>
                <pt idx="1">
                  <v>247039.76</v>
                </pt>
                <pt idx="2">
                  <v>50611.88</v>
                </pt>
                <pt idx="3">
                  <v>232083.31</v>
                </pt>
                <pt idx="4">
                  <v>100241.89</v>
                </pt>
                <pt idx="5">
                  <v>243609.74</v>
                </pt>
                <pt idx="6">
                  <v>105293.6</v>
                </pt>
                <pt idx="7">
                  <v>137786.37</v>
                </pt>
                <pt idx="8">
                  <v>171612.08</v>
                </pt>
                <pt idx="9">
                  <v>703760.14</v>
                </pt>
                <pt idx="10">
                  <v>90692.88</v>
                </pt>
                <pt idx="11">
                  <formatCode xml:space="preserve">_ * #\ ##0.00_ ;_ * \-#\ ##0.00_ ;_ * "-"??_ ;_ @_ </formatCode>
                  <v>154696.75</v>
                </pt>
              </numCache>
            </numRef>
          </val>
        </ser>
        <ser>
          <idx val="3"/>
          <order val="1"/>
          <tx>
            <strRef>
              <f>'Dec 24 - Dec 30'!$F$3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24 - Dec 30'!$A$5:$A$20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24 - Dec 30'!$F$5:$F$20</f>
              <numCache>
                <formatCode>#,##0.00</formatCode>
                <ptCount val="12"/>
                <pt idx="0">
                  <v>315787.5</v>
                </pt>
                <pt idx="1">
                  <v>195208.5</v>
                </pt>
                <pt idx="2">
                  <v>67639.25999999999</v>
                </pt>
                <pt idx="3">
                  <v>251347.9</v>
                </pt>
                <pt idx="4">
                  <v>87101.46000000001</v>
                </pt>
                <pt idx="5">
                  <v>231448.7</v>
                </pt>
                <pt idx="7">
                  <v>149304.7</v>
                </pt>
                <pt idx="9">
                  <v>849629.2</v>
                </pt>
                <pt idx="10">
                  <v>88647.83</v>
                </pt>
                <pt idx="11">
                  <v>113962.7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'Dec 31 - Jan 6'!$D$4:$D$17</f>
              <strCache>
                <ptCount val="1"/>
                <pt idx="0">
                  <v xml:space="preserve"> 2 979 026.76  344 966.83 255 007.07 81 571.47 328 490.91 116 016.19 302 047.15 132 438.38 185 942.44 164 385.90 687 439.07 121 726.27 258 995.08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'Dec 31 - Jan 6'!$D$3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6'!$D$5:$D$17</f>
              <numCache>
                <formatCode>#,##0.00</formatCode>
                <ptCount val="12"/>
                <pt idx="0">
                  <v>344966.8271999999</v>
                </pt>
                <pt idx="1">
                  <v>255007.0674</v>
                </pt>
                <pt idx="2">
                  <v>81571.46879999999</v>
                </pt>
                <pt idx="3">
                  <v>328490.9088</v>
                </pt>
                <pt idx="4">
                  <v>116016.1926</v>
                </pt>
                <pt idx="5">
                  <v>302047.1496</v>
                </pt>
                <pt idx="6">
                  <v>132438.3828</v>
                </pt>
                <pt idx="7">
                  <v>185942.436</v>
                </pt>
                <pt idx="8">
                  <v>164385.9024</v>
                </pt>
                <pt idx="9">
                  <v>687439.0721999999</v>
                </pt>
                <pt idx="10">
                  <v>121726.2702</v>
                </pt>
                <pt idx="11">
                  <v>258995.0838</v>
                </pt>
              </numCache>
            </numRef>
          </val>
        </ser>
        <ser>
          <idx val="3"/>
          <order val="1"/>
          <tx>
            <strRef>
              <f>'Dec 31 - Jan 6'!$F$3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'Dec 31 - Jan 6'!$A$5:$A$17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</strCache>
            </strRef>
          </cat>
          <val>
            <numRef>
              <f>'Dec 31 - Jan 6'!$F$5:$F$17</f>
              <numCache>
                <formatCode>#,##0.00</formatCode>
                <ptCount val="12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114633.66</v>
                </pt>
                <pt idx="5">
                  <v>228406.1</v>
                </pt>
                <pt idx="6">
                  <v>133751.79</v>
                </pt>
                <pt idx="7">
                  <v>185171.07</v>
                </pt>
                <pt idx="8">
                  <v>0</v>
                </pt>
                <pt idx="9">
                  <v>730769.9300000001</v>
                </pt>
                <pt idx="10">
                  <v>96083.84</v>
                </pt>
                <pt idx="11">
                  <v>133382.21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7 - Jan 13'!$D$4:$D$17</f>
              <strCache>
                <ptCount val="1"/>
                <pt idx="0">
                  <v xml:space="preserve"> 2 214 610.87  268 353.83 163 075.54 83 089.63 266 913.83 117 708.70 294 196.37 107 328.96 203 360.97 0.00 343 995.82 119 445.84 247 141.38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7 - Jan 13'!$D$3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13'!$D$5:$D$9,'Jan 7 - Jan 13'!$D$11:$D$17)</f>
              <numCache>
                <formatCode>#,##0.00</formatCode>
                <ptCount val="11"/>
                <pt idx="0">
                  <v>268353.83</v>
                </pt>
                <pt idx="1">
                  <v>163075.54</v>
                </pt>
                <pt idx="2">
                  <v>83089.63</v>
                </pt>
                <pt idx="3">
                  <v>266913.83</v>
                </pt>
                <pt idx="4">
                  <v>294196.37</v>
                </pt>
                <pt idx="5">
                  <v>107328.96</v>
                </pt>
                <pt idx="6">
                  <v>203360.97</v>
                </pt>
                <pt idx="7">
                  <v>0</v>
                </pt>
                <pt idx="8">
                  <v>343995.82</v>
                </pt>
                <pt idx="9">
                  <v>119445.84</v>
                </pt>
                <pt idx="10">
                  <v>247141.38</v>
                </pt>
              </numCache>
            </numRef>
          </val>
        </ser>
        <ser>
          <idx val="3"/>
          <order val="1"/>
          <tx>
            <strRef>
              <f>'Jan 7 - Jan 13'!$F$3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7 - Jan 13'!$A$5:$A$9,'Jan 7 - Jan 13'!$A$11:$A$17)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7 - Jan 13'!$F$5:$F$9,'Jan 7 - Jan 13'!$F$11:$F$17)</f>
              <numCache>
                <formatCode>#,##0.00</formatCode>
                <ptCount val="11"/>
                <pt idx="0">
                  <v>282462.92</v>
                </pt>
                <pt idx="1">
                  <v>142591.76</v>
                </pt>
                <pt idx="2">
                  <v>72948.71000000001</v>
                </pt>
                <pt idx="3">
                  <v>271188.76</v>
                </pt>
                <pt idx="4">
                  <v>320006.2</v>
                </pt>
                <pt idx="5">
                  <v>124091.17</v>
                </pt>
                <pt idx="6">
                  <v>219380.24</v>
                </pt>
                <pt idx="7">
                  <v>93753.47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14 - Jan 20'!$D$4:$D$17</f>
              <strCache>
                <ptCount val="1"/>
                <pt idx="0">
                  <v xml:space="preserve"> 2 104 398.50  222 145.29 180 800.81 81 768.65 270 052.37 136 676.85 296 711.83 120 070.42 208 224.78 89 888.45 144 528.40 125 337.06 228 193.59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14 - Jan 20'!$D$3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20'!$D$5:$D$9,'Jan 14 - Jan 20'!$D$11:$D$17)</f>
              <numCache>
                <formatCode>#,##0.00</formatCode>
                <ptCount val="11"/>
                <pt idx="0">
                  <v>222145.29</v>
                </pt>
                <pt idx="1">
                  <v>180800.81</v>
                </pt>
                <pt idx="2">
                  <v>81768.64999999999</v>
                </pt>
                <pt idx="3">
                  <v>270052.37</v>
                </pt>
                <pt idx="4">
                  <v>296711.83</v>
                </pt>
                <pt idx="5">
                  <v>120070.42</v>
                </pt>
                <pt idx="6">
                  <v>208224.78</v>
                </pt>
                <pt idx="7">
                  <v>89888.45</v>
                </pt>
                <pt idx="8">
                  <v>144528.4</v>
                </pt>
                <pt idx="9">
                  <v>125337.06</v>
                </pt>
                <pt idx="10">
                  <v>228193.59</v>
                </pt>
              </numCache>
            </numRef>
          </val>
        </ser>
        <ser>
          <idx val="3"/>
          <order val="1"/>
          <tx>
            <strRef>
              <f>'Jan 14 - Jan 20'!$F$3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14 - Jan 20'!$A$5:$A$9,'Jan 14 - Jan 20'!$A$11:$A$17)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14 - Jan 20'!$F$5:$F$9,'Jan 14 - Jan 20'!$F$11:$F$17)</f>
              <numCache>
                <formatCode>#,##0.00</formatCode>
                <ptCount val="11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313579.03</v>
                </pt>
                <pt idx="5">
                  <v>139966.8</v>
                </pt>
                <pt idx="6">
                  <v>198827.43</v>
                </pt>
                <pt idx="7">
                  <v>76824.78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'Jan 21 - Jan 27'!$D$4:$D$17</f>
              <strCache>
                <ptCount val="1"/>
                <pt idx="0">
                  <v xml:space="preserve"> 2 244 663.34  219 701.61 194 235.30 103 193.47 314 312.23 144 422.10 328 278.32 137 551.10 191 786.00 80 519.56 136 549.79 135 663.90 258 449.96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'Jan 21 - Jan 27'!$D$3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27'!$D$5:$D$9,'Jan 21 - Jan 27'!$D$11:$D$17)</f>
              <numCache>
                <formatCode>#,##0.00</formatCode>
                <ptCount val="11"/>
                <pt idx="0">
                  <v>219701.61</v>
                </pt>
                <pt idx="1">
                  <v>194235.3</v>
                </pt>
                <pt idx="2">
                  <v>103193.47</v>
                </pt>
                <pt idx="3">
                  <v>314312.23</v>
                </pt>
                <pt idx="4">
                  <v>328278.32</v>
                </pt>
                <pt idx="5">
                  <v>137551.1</v>
                </pt>
                <pt idx="6">
                  <v>191786</v>
                </pt>
                <pt idx="7">
                  <v>80519.56</v>
                </pt>
                <pt idx="8">
                  <v>136549.79</v>
                </pt>
                <pt idx="9">
                  <v>135663.9</v>
                </pt>
                <pt idx="10">
                  <v>258449.96</v>
                </pt>
              </numCache>
            </numRef>
          </val>
        </ser>
        <ser>
          <idx val="3"/>
          <order val="1"/>
          <tx>
            <strRef>
              <f>'Jan 21 - Jan 27'!$F$3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('Jan 21 - Jan 27'!$A$5:$A$9,'Jan 21 - Jan 27'!$A$11:$A$17)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('Jan 21 - Jan 27'!$F$5:$F$9,'Jan 21 - Jan 27'!$F$11:$F$17)</f>
              <numCache>
                <formatCode>#,##0.00</formatCode>
                <ptCount val="11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317233.92</v>
                </pt>
                <pt idx="5">
                  <v>152846.04</v>
                </pt>
                <pt idx="6">
                  <v>243010.12</v>
                </pt>
                <pt idx="7">
                  <v>109903.9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'28 Jan - 3 Feb'!$D$4:$D$17</f>
              <strCache>
                <ptCount val="1"/>
                <pt idx="0">
                  <v xml:space="preserve"> 2 283 861.98  231 853.84 187 339.38 120 462.74 313 880.02 165 093.83 315 511.51 147 369.48 244 283.92 80 519.56 140 544.81 118 509.43 218 493.46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Jan - 3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Feb'!$D$5:$D$9,'28 Jan - 3 Feb'!$D$11:$D$17)</f>
              <numCache>
                <formatCode>#,##0.00</formatCode>
                <ptCount val="11"/>
                <pt idx="0">
                  <v>231853.84</v>
                </pt>
                <pt idx="1">
                  <v>187339.38</v>
                </pt>
                <pt idx="2">
                  <v>120462.74</v>
                </pt>
                <pt idx="3">
                  <v>313880.02</v>
                </pt>
                <pt idx="4">
                  <v>315511.51</v>
                </pt>
                <pt idx="5">
                  <v>147369.48</v>
                </pt>
                <pt idx="6">
                  <v>244283.92</v>
                </pt>
                <pt idx="7">
                  <v>80519.56</v>
                </pt>
                <pt idx="8">
                  <v>140544.81</v>
                </pt>
                <pt idx="9">
                  <v>118509.43</v>
                </pt>
                <pt idx="10">
                  <v>218493.46</v>
                </pt>
              </numCache>
            </numRef>
          </val>
        </ser>
        <ser>
          <idx val="3"/>
          <order val="1"/>
          <tx>
            <strRef>
              <f>'28 Jan - 3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('28 Jan - 3 Feb'!$A$5:$A$9,'28 Jan - 3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('28 Jan - 3 Feb'!$E$5:$E$9,'28 Jan - 3 Feb'!$E$11:$E$17)</f>
              <numCache>
                <formatCode>#,##0.00</formatCode>
                <ptCount val="11"/>
                <pt idx="0">
                  <v>234881.47</v>
                </pt>
                <pt idx="1">
                  <v>172917.81</v>
                </pt>
                <pt idx="2">
                  <v>100729.45</v>
                </pt>
                <pt idx="3">
                  <v>329808.99</v>
                </pt>
                <pt idx="4">
                  <v>335261.97</v>
                </pt>
                <pt idx="5">
                  <v>154730.66</v>
                </pt>
                <pt idx="6">
                  <v>227584.22</v>
                </pt>
                <pt idx="7">
                  <v>67469.99000000001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Feb - 10 Feb'!$D$4:$D$17</f>
              <strCache>
                <ptCount val="1"/>
                <pt idx="0">
                  <v xml:space="preserve"> 2 156 372.48  208 861.48 172 993.67 103 906.07 312 117.29 142 486.86 300 830.76 123 636.69 183 248.35 76 997.09 162 922.97 151 395.24 216 976.01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Feb - 10 Feb'!$D$3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Feb'!$D$5:$D$9,'4 Feb - 10 Feb'!$D$11:$D$17)</f>
              <numCache>
                <formatCode>#,##0.00</formatCode>
                <ptCount val="11"/>
                <pt idx="0">
                  <v>208861.48</v>
                </pt>
                <pt idx="1">
                  <v>172993.67</v>
                </pt>
                <pt idx="2">
                  <v>103906.07</v>
                </pt>
                <pt idx="3">
                  <v>312117.29</v>
                </pt>
                <pt idx="4">
                  <v>300830.76</v>
                </pt>
                <pt idx="5">
                  <v>123636.69</v>
                </pt>
                <pt idx="6">
                  <v>183248.35</v>
                </pt>
                <pt idx="7">
                  <v>76997.09</v>
                </pt>
                <pt idx="8">
                  <v>162922.97</v>
                </pt>
                <pt idx="9">
                  <v>151395.24</v>
                </pt>
                <pt idx="10">
                  <v>216976.01</v>
                </pt>
              </numCache>
            </numRef>
          </val>
        </ser>
        <ser>
          <idx val="3"/>
          <order val="1"/>
          <tx>
            <strRef>
              <f>'4 Feb - 10 Feb'!$E$3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('4 Feb - 10 Feb'!$A$5:$A$9,'4 Feb - 10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('4 Feb - 10 Feb'!$E$5:$E$9,'4 Feb - 10 Feb'!$E$11:$E$17)</f>
              <numCache>
                <formatCode>#,##0.00</formatCode>
                <ptCount val="11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329753.61</v>
                </pt>
                <pt idx="5">
                  <v>144397.12</v>
                </pt>
                <pt idx="6">
                  <v>219176.66</v>
                </pt>
                <pt idx="7">
                  <v>92368.25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Feb - 17 Feb'!$B$4:$B$17</f>
              <strCache>
                <ptCount val="1"/>
                <pt idx="0">
                  <v xml:space="preserve"> 2 354 116.94  242 378.88 207 544.97 114 390.05 324 147.25 180 292.29 295 932.86 129 246.81 218 657.19 117 903.36 159 684.51 142 406.29 221 532.48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Feb - 17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Feb'!$B$5:$B$9,'11 Feb - 17 Feb'!$B$11:$B$17)</f>
              <numCache>
                <formatCode>#,##0.00</formatCode>
                <ptCount val="11"/>
                <pt idx="0">
                  <v>242378.88</v>
                </pt>
                <pt idx="1">
                  <v>207544.97</v>
                </pt>
                <pt idx="2">
                  <v>114390.05</v>
                </pt>
                <pt idx="3">
                  <v>324147.25</v>
                </pt>
                <pt idx="4">
                  <v>295932.86</v>
                </pt>
                <pt idx="5">
                  <v>129246.81</v>
                </pt>
                <pt idx="6">
                  <v>218657.19</v>
                </pt>
                <pt idx="7">
                  <v>117903.36</v>
                </pt>
                <pt idx="8">
                  <v>159684.51</v>
                </pt>
                <pt idx="9">
                  <v>142406.29</v>
                </pt>
                <pt idx="10">
                  <v>221532.48</v>
                </pt>
              </numCache>
            </numRef>
          </val>
        </ser>
        <ser>
          <idx val="3"/>
          <order val="1"/>
          <tx>
            <strRef>
              <f>'11 Feb - 17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('11 Feb - 17 Feb'!$A$5:$A$9,'11 Feb - 17 Feb'!$A$11:$A$17)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Wellington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</strCache>
            </strRef>
          </cat>
          <val>
            <numRef>
              <f>('11 Feb - 17 Feb'!$C$5:$C$9,'11 Feb - 17 Feb'!$C$11:$C$17)</f>
              <numCache>
                <formatCode>#,##0.00</formatCode>
                <ptCount val="11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344555.3</v>
                </pt>
                <pt idx="5">
                  <v>150132.08</v>
                </pt>
                <pt idx="6">
                  <v>239284.36</v>
                </pt>
                <pt idx="7">
                  <v>98380.86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Feb - 24 Feb'!$B$4:$B$17</f>
              <strCache>
                <ptCount val="1"/>
                <pt idx="0">
                  <v xml:space="preserve"> 2 350 523.95  234 617.82 196 295.06 106 518.63 362 222.69 141 629.58 301 960.55 116 587.85 196 761.76 110 413.04 150 054.22 182 551.64 250 911.11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Feb - 24 Feb'!$B$3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Feb'!$B$5:$B$18</f>
              <numCache>
                <formatCode>#,##0.00</formatCode>
                <ptCount val="13"/>
                <pt idx="0">
                  <v>234617.82</v>
                </pt>
                <pt idx="1">
                  <v>196295.06</v>
                </pt>
                <pt idx="2">
                  <v>106518.63</v>
                </pt>
                <pt idx="3">
                  <v>362222.69</v>
                </pt>
                <pt idx="4">
                  <v>141629.58</v>
                </pt>
                <pt idx="5">
                  <v>301960.55</v>
                </pt>
                <pt idx="6">
                  <v>116587.85</v>
                </pt>
                <pt idx="7">
                  <v>196761.76</v>
                </pt>
                <pt idx="8">
                  <v>110413.04</v>
                </pt>
                <pt idx="9">
                  <v>150054.22</v>
                </pt>
                <pt idx="10">
                  <v>182551.64</v>
                </pt>
                <pt idx="11">
                  <v>250911.11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Feb - 24 Feb'!$C$3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Feb - 24 Feb'!$A$5:$A$18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Feb - 24 Feb'!$C$5:$C$18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93224.78</v>
                </pt>
                <pt idx="9">
                  <v>159531.37</v>
                </pt>
                <pt idx="10">
                  <v>135434.34</v>
                </pt>
                <pt idx="11">
                  <v>215582.54</v>
                </pt>
                <pt idx="12">
                  <v>169417.62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Feb - 3 Mar'!$C$4:$C$17</f>
              <strCache>
                <ptCount val="1"/>
                <pt idx="0">
                  <v xml:space="preserve"> 2 328 725.35  249 192.95 207 663.59 106 257.80 362 249.26 152 808.71 318 588.43 132 072.93 222 558.66 94 394.88 134 408.08 127 687.22 220 842.84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Feb - 3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Mar'!$C$5:$C$18</f>
              <numCache>
                <formatCode>#,##0.00</formatCode>
                <ptCount val="13"/>
                <pt idx="0">
                  <v>249192.95</v>
                </pt>
                <pt idx="1">
                  <v>207663.59</v>
                </pt>
                <pt idx="2">
                  <v>106257.8</v>
                </pt>
                <pt idx="3">
                  <v>362249.26</v>
                </pt>
                <pt idx="4">
                  <v>152808.71</v>
                </pt>
                <pt idx="5">
                  <v>318588.43</v>
                </pt>
                <pt idx="6">
                  <v>132072.93</v>
                </pt>
                <pt idx="7">
                  <v>222558.66</v>
                </pt>
                <pt idx="8">
                  <v>94394.88</v>
                </pt>
                <pt idx="9">
                  <v>134408.08</v>
                </pt>
                <pt idx="10">
                  <v>127687.22</v>
                </pt>
                <pt idx="11">
                  <v>220842.84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Feb - 3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Feb - 3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Feb - 3 Mar'!$D$5:$D$18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90297.38</v>
                </pt>
                <pt idx="9">
                  <v>167255.37</v>
                </pt>
                <pt idx="10">
                  <v>151388.8</v>
                </pt>
                <pt idx="11">
                  <v>250174.74</v>
                </pt>
                <pt idx="12">
                  <v>190318.77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'4 Mar- 10 Mar'!$C$4:$C$17</f>
              <strCache>
                <ptCount val="1"/>
                <pt idx="0">
                  <v xml:space="preserve"> 2 202 129.93  222 516.75 176 573.90 98 720.22 327 754.26 146 985.57 314 568.71 144 748.49 209 138.95 74 134.00 133 439.17 134 873.74 218 676.17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9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Mar- 10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Mar'!$C$5:$C$18</f>
              <numCache>
                <formatCode>#,##0.00</formatCode>
                <ptCount val="13"/>
                <pt idx="0">
                  <v>222516.75</v>
                </pt>
                <pt idx="1">
                  <v>176573.9</v>
                </pt>
                <pt idx="2">
                  <v>98720.22</v>
                </pt>
                <pt idx="3">
                  <v>327754.26</v>
                </pt>
                <pt idx="4">
                  <v>146985.57</v>
                </pt>
                <pt idx="5">
                  <v>314568.71</v>
                </pt>
                <pt idx="6">
                  <v>144748.49</v>
                </pt>
                <pt idx="7">
                  <v>209138.95</v>
                </pt>
                <pt idx="8">
                  <v>74134</v>
                </pt>
                <pt idx="9">
                  <v>133439.17</v>
                </pt>
                <pt idx="10">
                  <v>134873.74</v>
                </pt>
                <pt idx="11">
                  <v>218676.17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Mar- 10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Mar- 10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'4 Mar- 10 Mar'!$D$5:$D$18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70723.91</v>
                </pt>
                <pt idx="9">
                  <v>156695.27</v>
                </pt>
                <pt idx="10">
                  <v>139497.94</v>
                </pt>
                <pt idx="11">
                  <v>227810.49</v>
                </pt>
                <pt idx="12">
                  <v>195684.66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'11 Mar- 17 Mar'!$C$4:$C$17</f>
              <strCache>
                <ptCount val="1"/>
                <pt idx="0">
                  <v xml:space="preserve"> 2 176 346.00  215 211.27 163 238.90 92 237.47 322 540.00 146 854.80 329 307.73 112 539.35 207 590.85 76 807.19 141 484.38 125 999.04 242 535.02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Mar- 17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Mar'!$C$5:$C$18</f>
              <numCache>
                <formatCode>#,##0.00</formatCode>
                <ptCount val="13"/>
                <pt idx="0">
                  <v>215211.27</v>
                </pt>
                <pt idx="1">
                  <v>163238.9</v>
                </pt>
                <pt idx="2">
                  <v>92237.47</v>
                </pt>
                <pt idx="3">
                  <v>322540</v>
                </pt>
                <pt idx="4">
                  <v>146854.8</v>
                </pt>
                <pt idx="5">
                  <v>329307.73</v>
                </pt>
                <pt idx="6">
                  <v>112539.35</v>
                </pt>
                <pt idx="7">
                  <v>207590.85</v>
                </pt>
                <pt idx="8">
                  <v>76807.19</v>
                </pt>
                <pt idx="9">
                  <v>141484.38</v>
                </pt>
                <pt idx="10">
                  <v>125999.04</v>
                </pt>
                <pt idx="11">
                  <v>242535.02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Mar- 17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Mar- 17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'11 Mar- 17 Mar'!$D$5:$D$18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91086.52</v>
                </pt>
                <pt idx="9">
                  <v>223622.64</v>
                </pt>
                <pt idx="10">
                  <v>152677.41</v>
                </pt>
                <pt idx="11">
                  <v>217932.85</v>
                </pt>
                <pt idx="12">
                  <v>189463.02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'18 Mar- 24 Mar'!$C$4:$C$17</f>
              <strCache>
                <ptCount val="1"/>
                <pt idx="0">
                  <v xml:space="preserve"> 2 438 571.23  263 381.39 210 661.12 100 413.54 358 813.66 157 515.75 338 439.21 124 684.00 210 553.62 110 413.04 171 625.98 162 972.82 229 097.10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5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Mar- 24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Mar'!$C$5:$C$18</f>
              <numCache>
                <formatCode>#,##0.00</formatCode>
                <ptCount val="13"/>
                <pt idx="0">
                  <v>263381.39</v>
                </pt>
                <pt idx="1">
                  <v>210661.12</v>
                </pt>
                <pt idx="2">
                  <v>100413.54</v>
                </pt>
                <pt idx="3">
                  <v>358813.66</v>
                </pt>
                <pt idx="4">
                  <v>157515.75</v>
                </pt>
                <pt idx="5">
                  <v>338439.21</v>
                </pt>
                <pt idx="6">
                  <v>124684</v>
                </pt>
                <pt idx="7">
                  <v>210553.62</v>
                </pt>
                <pt idx="8">
                  <v>110413.04</v>
                </pt>
                <pt idx="9">
                  <v>171625.98</v>
                </pt>
                <pt idx="10">
                  <v>162972.82</v>
                </pt>
                <pt idx="11">
                  <v>229097.1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Mar- 24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Mar- 24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'18 Mar- 24 Mar'!$D$5:$D$18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109167.39</v>
                </pt>
                <pt idx="9">
                  <v>407133.91</v>
                </pt>
                <pt idx="10">
                  <v>164652.97</v>
                </pt>
                <pt idx="11">
                  <v>250243.46</v>
                </pt>
                <pt idx="12">
                  <v>196899.77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'25 Mar- 31 Mar'!$C$4:$C$17</f>
              <strCache>
                <ptCount val="1"/>
                <pt idx="0">
                  <v xml:space="preserve"> 2 594 767.57  266 247.30 223 509.00 107 411.50 373 097.40 133 152.70 331 751.30 117 570.60 216 182.30 92 989.97 333 749.00 156 551.90 242 554.60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Mar- 31 Mar'!$C$3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Mar'!$C$5:$C$18</f>
              <numCache>
                <formatCode>#,##0.00</formatCode>
                <ptCount val="13"/>
                <pt idx="0">
                  <v>266247.3</v>
                </pt>
                <pt idx="1">
                  <v>223509</v>
                </pt>
                <pt idx="2">
                  <v>107411.5</v>
                </pt>
                <pt idx="3">
                  <v>373097.4</v>
                </pt>
                <pt idx="4">
                  <v>133152.7</v>
                </pt>
                <pt idx="5">
                  <v>331751.3</v>
                </pt>
                <pt idx="6">
                  <v>117570.6</v>
                </pt>
                <pt idx="7">
                  <v>216182.3</v>
                </pt>
                <pt idx="8">
                  <v>92989.97</v>
                </pt>
                <pt idx="9">
                  <v>333749</v>
                </pt>
                <pt idx="10">
                  <v>156551.9</v>
                </pt>
                <pt idx="11">
                  <v>242554.6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Mar- 31 Mar'!$D$3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Mar- 31 Mar'!$A$5:$A$18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'25 Mar- 31 Mar'!$D$5:$D$18</f>
              <numCache>
                <formatCode>#,##0.00</formatCode>
                <ptCount val="13"/>
                <pt idx="0">
                  <v>302665.29</v>
                </pt>
                <pt idx="1">
                  <v>258147.93</v>
                </pt>
                <pt idx="2">
                  <v>136569.38</v>
                </pt>
                <pt idx="3">
                  <v>373516.14</v>
                </pt>
                <pt idx="4">
                  <v>160533.82</v>
                </pt>
                <pt idx="5">
                  <v>390104.3</v>
                </pt>
                <pt idx="6">
                  <v>145176.81</v>
                </pt>
                <pt idx="7">
                  <v>248268.47</v>
                </pt>
                <pt idx="8">
                  <v>111265.86</v>
                </pt>
                <pt idx="9">
                  <v>374034.67</v>
                </pt>
                <pt idx="10">
                  <v>163350.7</v>
                </pt>
                <pt idx="11">
                  <v>228911.17</v>
                </pt>
                <pt idx="12">
                  <v>184896.66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0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 Apr- 7 Apr'!$C$4:$C$17</f>
              <strCache>
                <ptCount val="1"/>
                <pt idx="0">
                  <v xml:space="preserve"> 2 503 480.12  280 351.31 203 342.33 93 084.27 395 704.53 125 229.44 307 505.66 103 713.22 203 812.72 94 763.50 347 847.61 139 422.32 208 703.21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1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Apr- 7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Apr'!$C$5:$C$18</f>
              <numCache>
                <formatCode>#,##0.00</formatCode>
                <ptCount val="13"/>
                <pt idx="0">
                  <v>280351.31</v>
                </pt>
                <pt idx="1">
                  <v>203342.33</v>
                </pt>
                <pt idx="2">
                  <v>93084.27</v>
                </pt>
                <pt idx="3">
                  <v>395704.53</v>
                </pt>
                <pt idx="4">
                  <v>125229.44</v>
                </pt>
                <pt idx="5">
                  <v>307505.66</v>
                </pt>
                <pt idx="6">
                  <v>103713.22</v>
                </pt>
                <pt idx="7">
                  <v>203812.72</v>
                </pt>
                <pt idx="8">
                  <v>94763.5</v>
                </pt>
                <pt idx="9">
                  <v>347847.61</v>
                </pt>
                <pt idx="10">
                  <v>139422.32</v>
                </pt>
                <pt idx="11">
                  <v>208703.21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Apr- 7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Apr- 7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 Apr- 7 Apr'!$D$5:$D$18</f>
              <numCache>
                <formatCode>#,##0.00</formatCode>
                <ptCount val="13"/>
                <pt idx="0">
                  <v>248530.67</v>
                </pt>
                <pt idx="1">
                  <v>176666.07</v>
                </pt>
                <pt idx="2">
                  <v>123407.79</v>
                </pt>
                <pt idx="3">
                  <v>295821.73</v>
                </pt>
                <pt idx="4">
                  <v>142866.03</v>
                </pt>
                <pt idx="5">
                  <v>308766.37</v>
                </pt>
                <pt idx="6">
                  <v>157205.84</v>
                </pt>
                <pt idx="7">
                  <v>205429.98</v>
                </pt>
                <pt idx="8">
                  <v>75249.56</v>
                </pt>
                <pt idx="9">
                  <v>162507.67</v>
                </pt>
                <pt idx="10">
                  <v>128214.39</v>
                </pt>
                <pt idx="11">
                  <v>207963.92</v>
                </pt>
                <pt idx="12">
                  <v>178583.35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'8 Apr- 14 Apr'!$C$4:$C$17</f>
              <strCache>
                <ptCount val="1"/>
                <pt idx="0">
                  <v xml:space="preserve"> 2 055 708.69  207 061.90 190 952.05 105 168.35 306 308.54 123 497.04 298 329.57 120 383.09 192 172.76 73 416.01 143 309.31 116 441.78 178 668.29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Apr- 14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Apr'!$C$5:$C$18</f>
              <numCache>
                <formatCode>#,##0.00</formatCode>
                <ptCount val="13"/>
                <pt idx="0">
                  <v>207061.9</v>
                </pt>
                <pt idx="1">
                  <v>190952.05</v>
                </pt>
                <pt idx="2">
                  <v>105168.35</v>
                </pt>
                <pt idx="3">
                  <v>306308.54</v>
                </pt>
                <pt idx="4">
                  <v>123497.04</v>
                </pt>
                <pt idx="5">
                  <v>298329.57</v>
                </pt>
                <pt idx="6">
                  <v>120383.09</v>
                </pt>
                <pt idx="7">
                  <v>192172.76</v>
                </pt>
                <pt idx="8">
                  <v>73416.00999999999</v>
                </pt>
                <pt idx="9">
                  <v>143309.31</v>
                </pt>
                <pt idx="10">
                  <v>116441.78</v>
                </pt>
                <pt idx="11">
                  <v>178668.29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Apr- 14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Apr- 14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'8 Apr- 14 Apr'!$D$5:$D$18</f>
              <numCache>
                <formatCode>#,##0.00</formatCode>
                <ptCount val="13"/>
                <pt idx="0">
                  <v>201679.88</v>
                </pt>
                <pt idx="1">
                  <v>184805.59</v>
                </pt>
                <pt idx="2">
                  <v>128771.64</v>
                </pt>
                <pt idx="3">
                  <v>287782.46</v>
                </pt>
                <pt idx="4">
                  <v>139046.1</v>
                </pt>
                <pt idx="5">
                  <v>339715.46</v>
                </pt>
                <pt idx="6">
                  <v>151603.94</v>
                </pt>
                <pt idx="7">
                  <v>204317.08</v>
                </pt>
                <pt idx="8">
                  <v>54770.8675</v>
                </pt>
                <pt idx="9">
                  <v>170092.54</v>
                </pt>
                <pt idx="10">
                  <v>112828.63</v>
                </pt>
                <pt idx="11">
                  <v>212238.52</v>
                </pt>
                <pt idx="12">
                  <v>183791.17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6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'15 Apr- 21 Apr'!$C$4:$C$17</f>
              <strCache>
                <ptCount val="1"/>
                <pt idx="0">
                  <v xml:space="preserve"> 2 036 262.83  197 929.61 171 542.20 103 915.13 299 662.40 150 364.32 305 149.49 126 708.44 201 732.63 57 445.66 121 351.35 106 714.27 193 747.33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7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8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Apr- 21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Apr'!$C$5:$C$18</f>
              <numCache>
                <formatCode>#,##0.00</formatCode>
                <ptCount val="13"/>
                <pt idx="0">
                  <v>197929.61</v>
                </pt>
                <pt idx="1">
                  <v>171542.2</v>
                </pt>
                <pt idx="2">
                  <v>103915.13</v>
                </pt>
                <pt idx="3">
                  <v>299662.4</v>
                </pt>
                <pt idx="4">
                  <v>150364.32</v>
                </pt>
                <pt idx="5">
                  <v>305149.49</v>
                </pt>
                <pt idx="6">
                  <v>126708.44</v>
                </pt>
                <pt idx="7">
                  <v>201732.63</v>
                </pt>
                <pt idx="8">
                  <v>57445.66</v>
                </pt>
                <pt idx="9">
                  <v>121351.35</v>
                </pt>
                <pt idx="10">
                  <v>106714.27</v>
                </pt>
                <pt idx="11">
                  <v>193747.33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Apr- 21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Apr- 21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'15 Apr- 21 Apr'!$D$5:$D$18</f>
              <numCache>
                <formatCode>#,##0.00</formatCode>
                <ptCount val="13"/>
                <pt idx="0">
                  <v>230488.04</v>
                </pt>
                <pt idx="1">
                  <v>184585.22</v>
                </pt>
                <pt idx="2">
                  <v>114183.99</v>
                </pt>
                <pt idx="3">
                  <v>300470.18</v>
                </pt>
                <pt idx="4">
                  <v>128193.73</v>
                </pt>
                <pt idx="5">
                  <v>308450.45</v>
                </pt>
                <pt idx="6">
                  <v>140833.69</v>
                </pt>
                <pt idx="7">
                  <v>194170.35</v>
                </pt>
                <pt idx="8">
                  <v>66499.56</v>
                </pt>
                <pt idx="9">
                  <v>269262.97</v>
                </pt>
                <pt idx="10">
                  <v>133685.73</v>
                </pt>
                <pt idx="11">
                  <v>201945.52</v>
                </pt>
                <pt idx="12">
                  <v>172115.51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'22 Apr- 28 Apr'!$C$4:$C$17</f>
              <strCache>
                <ptCount val="1"/>
                <pt idx="0">
                  <v xml:space="preserve"> 2 229 325.57  256 698.91 181 356.98 109 660.70 331 693.38 128 841.50 305 554.94 100 037.08 205 831.62 77 817.57 232 094.91 112 202.87 187 535.11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Apr- 28 Apr'!$C$3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Apr'!$C$5:$C$18</f>
              <numCache>
                <formatCode>#,##0.00</formatCode>
                <ptCount val="13"/>
                <pt idx="0">
                  <v>256698.91</v>
                </pt>
                <pt idx="1">
                  <v>181356.98</v>
                </pt>
                <pt idx="2">
                  <v>109660.7</v>
                </pt>
                <pt idx="3">
                  <v>331693.38</v>
                </pt>
                <pt idx="4">
                  <v>128841.5</v>
                </pt>
                <pt idx="5">
                  <v>305554.94</v>
                </pt>
                <pt idx="6">
                  <v>100037.08</v>
                </pt>
                <pt idx="7">
                  <v>205831.62</v>
                </pt>
                <pt idx="8">
                  <v>77817.57000000001</v>
                </pt>
                <pt idx="9">
                  <v>232094.91</v>
                </pt>
                <pt idx="10">
                  <v>112202.87</v>
                </pt>
                <pt idx="11">
                  <v>187535.11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Apr- 28 Apr'!$D$3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Apr- 28 Apr'!$A$5:$A$18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'22 Apr- 28 Apr'!$D$5:$D$18</f>
              <numCache>
                <formatCode>#,##0.00</formatCode>
                <ptCount val="13"/>
                <pt idx="0">
                  <v>278639.64</v>
                </pt>
                <pt idx="1">
                  <v>205425.47</v>
                </pt>
                <pt idx="2">
                  <v>125462.37</v>
                </pt>
                <pt idx="3">
                  <v>341411.74</v>
                </pt>
                <pt idx="4">
                  <v>137627.16</v>
                </pt>
                <pt idx="5">
                  <v>342630.09</v>
                </pt>
                <pt idx="6">
                  <v>163242.43</v>
                </pt>
                <pt idx="7">
                  <v>206365.41</v>
                </pt>
                <pt idx="8">
                  <v>95538.25999999999</v>
                </pt>
                <pt idx="9">
                  <v>212160.14</v>
                </pt>
                <pt idx="10">
                  <v>122313.92</v>
                </pt>
                <pt idx="11">
                  <v>213194.65</v>
                </pt>
                <pt idx="12">
                  <v>178200.51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2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'29 Apr- 5 May'!$C$4:$C$17</f>
              <strCache>
                <ptCount val="1"/>
                <pt idx="0">
                  <v xml:space="preserve"> 2 278 705.14  269 324.95 187 990.20 97 703.48 320 185.65 170 280.71 327 846.33 106 938.02 221 834.60 86 372.31 167 993.44 125 951.95 196 283.50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3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4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Apr- 5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May'!$C$5:$C$18</f>
              <numCache>
                <formatCode>#,##0.00</formatCode>
                <ptCount val="13"/>
                <pt idx="0">
                  <v>269324.95</v>
                </pt>
                <pt idx="1">
                  <v>187990.2</v>
                </pt>
                <pt idx="2">
                  <v>97703.48</v>
                </pt>
                <pt idx="3">
                  <v>320185.65</v>
                </pt>
                <pt idx="4">
                  <v>170280.71</v>
                </pt>
                <pt idx="5">
                  <v>327846.33</v>
                </pt>
                <pt idx="6">
                  <v>106938.02</v>
                </pt>
                <pt idx="7">
                  <v>221834.6</v>
                </pt>
                <pt idx="8">
                  <v>86372.31</v>
                </pt>
                <pt idx="9">
                  <v>167993.44</v>
                </pt>
                <pt idx="10">
                  <v>125951.95</v>
                </pt>
                <pt idx="11">
                  <v>196283.5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Apr- 5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Apr- 5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'29 Apr- 5 May'!$D$5:$D$18</f>
              <numCache>
                <formatCode>#,##0.00</formatCode>
                <ptCount val="13"/>
                <pt idx="0">
                  <v>302080.89</v>
                </pt>
                <pt idx="1">
                  <v>255815.43</v>
                </pt>
                <pt idx="2">
                  <v>126931.31</v>
                </pt>
                <pt idx="3">
                  <v>342635.31</v>
                </pt>
                <pt idx="4">
                  <v>140870.71</v>
                </pt>
                <pt idx="5">
                  <v>390245.8</v>
                </pt>
                <pt idx="6">
                  <v>136510.8</v>
                </pt>
                <pt idx="7">
                  <v>233608.46</v>
                </pt>
                <pt idx="8">
                  <v>86615.64999999999</v>
                </pt>
                <pt idx="9">
                  <v>157667.46</v>
                </pt>
                <pt idx="10">
                  <v>127075.46</v>
                </pt>
                <pt idx="11">
                  <v>217907.37</v>
                </pt>
                <pt idx="12">
                  <v>195997.67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1449943633184286"/>
          <y val="0.06280479989477368"/>
          <w val="0.9694774771310489"/>
          <h val="0.7364781550139948"/>
        </manualLayout>
      </layout>
      <barChart>
        <barDir val="col"/>
        <grouping val="clustered"/>
        <varyColors val="0"/>
        <ser>
          <idx val="1"/>
          <order val="0"/>
          <tx>
            <strRef>
              <f>'6 May - 12 May'!$C$4:$C$17</f>
              <strCache>
                <ptCount val="1"/>
                <pt idx="0">
                  <v xml:space="preserve"> 2 143 531.19  237 445.42 185 846.50 106 888.40 310 891.80 144 208.29 298 867.60 111 772.07 206 376.85 63 275.65 110 917.10 143 298.11 223 743.40</v>
                </pt>
              </strCache>
            </strRef>
          </tx>
          <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spPr>
          <invertIfNegative val="0"/>
          <val>
            <numLit>
              <formatCode>General</formatCode>
              <ptCount val="1"/>
              <pt idx="0">
                <v>1</v>
              </pt>
            </numLit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439493272"/>
        <axId val="439493664"/>
      </barChart>
      <catAx>
        <axId val="439493272"/>
        <scaling>
          <orientation val="minMax"/>
        </scaling>
        <delete val="1"/>
        <axPos val="b"/>
        <numFmt formatCode="General" sourceLinked="1"/>
        <majorTickMark val="none"/>
        <minorTickMark val="none"/>
        <tickLblPos val="nextTo"/>
        <crossAx val="439493664"/>
        <crosses val="autoZero"/>
        <auto val="1"/>
        <lblAlgn val="ctr"/>
        <lblOffset val="100"/>
        <noMultiLvlLbl val="0"/>
      </catAx>
      <valAx>
        <axId val="439493664"/>
        <scaling>
          <orientation val="minMax"/>
        </scaling>
        <delete val="1"/>
        <axPos val="l"/>
        <numFmt formatCode="General" sourceLinked="1"/>
        <majorTickMark val="none"/>
        <minorTickMark val="none"/>
        <tickLblPos val="nextTo"/>
        <crossAx val="439493272"/>
        <crosses val="autoZero"/>
        <crossBetween val="between"/>
      </valAx>
    </plotArea>
    <plotVisOnly val="1"/>
    <dispBlanksAs val="gap"/>
  </chart>
  <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May - 12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May'!$C$5:$C$18</f>
              <numCache>
                <formatCode>#,##0.00</formatCode>
                <ptCount val="13"/>
                <pt idx="0">
                  <v>237445.42</v>
                </pt>
                <pt idx="1">
                  <v>185846.5</v>
                </pt>
                <pt idx="2">
                  <v>106888.4</v>
                </pt>
                <pt idx="3">
                  <v>310891.8</v>
                </pt>
                <pt idx="4">
                  <v>144208.29</v>
                </pt>
                <pt idx="5">
                  <v>298867.6</v>
                </pt>
                <pt idx="6">
                  <v>111772.07</v>
                </pt>
                <pt idx="7">
                  <v>206376.85</v>
                </pt>
                <pt idx="8">
                  <v>63275.65</v>
                </pt>
                <pt idx="9">
                  <v>110917.1</v>
                </pt>
                <pt idx="10">
                  <v>143298.11</v>
                </pt>
                <pt idx="11">
                  <v>223743.4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'6 May - 12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May - 12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'6 May - 12 May'!$D$5:$D$18</f>
              <numCache>
                <formatCode>#,##0.00</formatCode>
                <ptCount val="13"/>
                <pt idx="0">
                  <v>277850.47</v>
                </pt>
                <pt idx="1">
                  <v>255721.48</v>
                </pt>
                <pt idx="2">
                  <v>149467.36</v>
                </pt>
                <pt idx="3">
                  <v>314671.8</v>
                </pt>
                <pt idx="4">
                  <v>146819.43</v>
                </pt>
                <pt idx="5">
                  <v>382519.05</v>
                </pt>
                <pt idx="6">
                  <v>144817.99</v>
                </pt>
                <pt idx="7">
                  <v>233865.68</v>
                </pt>
                <pt idx="8">
                  <v>0</v>
                </pt>
                <pt idx="9">
                  <v>163941.61</v>
                </pt>
                <pt idx="10">
                  <v>156915.53</v>
                </pt>
                <pt idx="11">
                  <v>204319.37</v>
                </pt>
                <pt idx="12">
                  <v>197506.48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May - 19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May'!$C$5:$C$18</f>
              <numCache>
                <formatCode>#,##0.00</formatCode>
                <ptCount val="13"/>
                <pt idx="0">
                  <v>185743.3</v>
                </pt>
                <pt idx="1">
                  <v>170395.84</v>
                </pt>
                <pt idx="2">
                  <v>79754.94</v>
                </pt>
                <pt idx="3">
                  <v>259836.52</v>
                </pt>
                <pt idx="4">
                  <v>129346.78</v>
                </pt>
                <pt idx="5">
                  <v>287710.11</v>
                </pt>
                <pt idx="6">
                  <v>103691.4</v>
                </pt>
                <pt idx="7">
                  <v>169358.35</v>
                </pt>
                <pt idx="8">
                  <v>41410.68</v>
                </pt>
                <pt idx="9">
                  <v>94936.64999999999</v>
                </pt>
                <pt idx="10">
                  <v>105933.05</v>
                </pt>
                <pt idx="11">
                  <v>155721.71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'13 May - 19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May - 19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'13 May - 19 May'!$D$5:$D$18</f>
              <numCache>
                <formatCode>#,##0.00</formatCode>
                <ptCount val="13"/>
                <pt idx="0">
                  <v>217085.03</v>
                </pt>
                <pt idx="1">
                  <v>208131.03</v>
                </pt>
                <pt idx="2">
                  <v>98960.8</v>
                </pt>
                <pt idx="3">
                  <v>271779.22</v>
                </pt>
                <pt idx="4">
                  <v>130430.4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127940.31</v>
                </pt>
                <pt idx="10">
                  <v>125341.75</v>
                </pt>
                <pt idx="11">
                  <v>194146.4</v>
                </pt>
                <pt idx="12">
                  <v>151423.45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May - 26 May'!$C$3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May'!$C$5:$C$18</f>
              <numCache>
                <formatCode>#,##0.00</formatCode>
                <ptCount val="13"/>
                <pt idx="0">
                  <v>221825.67</v>
                </pt>
                <pt idx="1">
                  <v>186639.79</v>
                </pt>
                <pt idx="2">
                  <v>88432.89</v>
                </pt>
                <pt idx="3">
                  <v>299724.59</v>
                </pt>
                <pt idx="4">
                  <v>168223.03</v>
                </pt>
                <pt idx="5">
                  <v>305095.51</v>
                </pt>
                <pt idx="6">
                  <v>111686.16</v>
                </pt>
                <pt idx="7">
                  <v>200143.4</v>
                </pt>
                <pt idx="8">
                  <v>53164.57</v>
                </pt>
                <pt idx="9">
                  <v>109316.15</v>
                </pt>
                <pt idx="10">
                  <v>125748.07</v>
                </pt>
                <pt idx="11">
                  <v>184789.68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'20 May - 26 May'!$D$3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May - 26 May'!$A$5:$A$18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'20 May - 26 May'!$D$5:$D$18</f>
              <numCache>
                <formatCode>#,##0.00</formatCode>
                <ptCount val="13"/>
                <pt idx="0">
                  <v>221316.49</v>
                </pt>
                <pt idx="1">
                  <v>230507.03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8">
                  <v>0</v>
                </pt>
                <pt idx="9">
                  <v>119331.58</v>
                </pt>
                <pt idx="10">
                  <v>120194.62</v>
                </pt>
                <pt idx="11">
                  <v>199724.82</v>
                </pt>
                <pt idx="12">
                  <v>147605.69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May - 2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June'!$C$5:$C$18</f>
              <numCache>
                <formatCode>#,##0.00</formatCode>
                <ptCount val="13"/>
                <pt idx="0">
                  <v>216962</v>
                </pt>
                <pt idx="1">
                  <v>176855</v>
                </pt>
                <pt idx="2">
                  <v>103723</v>
                </pt>
                <pt idx="3">
                  <v>325253</v>
                </pt>
                <pt idx="4">
                  <v>129201</v>
                </pt>
                <pt idx="5">
                  <v>315569</v>
                </pt>
                <pt idx="6">
                  <v>111799</v>
                </pt>
                <pt idx="7">
                  <v>196039</v>
                </pt>
                <pt idx="8">
                  <v>41440</v>
                </pt>
                <pt idx="9">
                  <v>107350</v>
                </pt>
                <pt idx="10">
                  <v>126441</v>
                </pt>
                <pt idx="11">
                  <v>165690</v>
                </pt>
              </numCache>
            </numRef>
          </val>
        </ser>
        <ser>
          <idx val="3"/>
          <order val="1"/>
          <tx>
            <strRef>
              <f>'27 May - 2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May - 2 June'!$A$5:$A$18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Wellington</v>
                </pt>
                <pt idx="9">
                  <v>Hartenbos</v>
                </pt>
                <pt idx="10">
                  <v>Kyalami Corner</v>
                </pt>
                <pt idx="11">
                  <v>Paulshof</v>
                </pt>
                <pt idx="12">
                  <v>Queenswood</v>
                </pt>
              </strCache>
            </strRef>
          </cat>
          <val>
            <numRef>
              <f>'27 May - 2 June'!$D$5:$D$18</f>
              <numCache>
                <formatCode>#,##0.00</formatCode>
                <ptCount val="13"/>
                <pt idx="0">
                  <v>228906</v>
                </pt>
                <pt idx="1">
                  <v>291098</v>
                </pt>
                <pt idx="2">
                  <v>129833</v>
                </pt>
                <pt idx="3">
                  <v>300962</v>
                </pt>
                <pt idx="4">
                  <v>163214</v>
                </pt>
                <pt idx="5">
                  <v>346283</v>
                </pt>
                <pt idx="6">
                  <v>146968</v>
                </pt>
                <pt idx="7">
                  <v>236376</v>
                </pt>
                <pt idx="8">
                  <v>0</v>
                </pt>
                <pt idx="9">
                  <v>132890</v>
                </pt>
                <pt idx="10">
                  <v>132344</v>
                </pt>
                <pt idx="11">
                  <v>191675</v>
                </pt>
                <pt idx="12">
                  <v>173995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June - 9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June'!$C$5:$C$18</f>
              <numCache>
                <formatCode>#,##0.00</formatCode>
                <ptCount val="12"/>
                <pt idx="0">
                  <v>196627.05</v>
                </pt>
                <pt idx="1">
                  <v>173968.25</v>
                </pt>
                <pt idx="2">
                  <v>107361.01</v>
                </pt>
                <pt idx="3">
                  <v>285115.41</v>
                </pt>
                <pt idx="4">
                  <v>114333.9</v>
                </pt>
                <pt idx="5">
                  <v>284486.68</v>
                </pt>
                <pt idx="6">
                  <v>109155.43</v>
                </pt>
                <pt idx="7">
                  <v>183499.55</v>
                </pt>
                <pt idx="8">
                  <v>99714.09</v>
                </pt>
                <pt idx="9">
                  <v>117142.32</v>
                </pt>
                <pt idx="10">
                  <v>184110.6</v>
                </pt>
              </numCache>
            </numRef>
          </val>
        </ser>
        <ser>
          <idx val="3"/>
          <order val="1"/>
          <tx>
            <strRef>
              <f>'3 June - 9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June - 9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June - 9 June'!$D$5:$D$18</f>
              <numCache>
                <formatCode>#,##0.00</formatCode>
                <ptCount val="12"/>
                <pt idx="0">
                  <v>245311.38</v>
                </pt>
                <pt idx="1">
                  <v>262809.21</v>
                </pt>
                <pt idx="2">
                  <v>109264.66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8">
                  <v>129751.08</v>
                </pt>
                <pt idx="9">
                  <v>113756.77</v>
                </pt>
                <pt idx="10">
                  <v>192169.17</v>
                </pt>
                <pt idx="11">
                  <v>152760.03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June - 16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June'!$C$5:$C$18</f>
              <numCache>
                <formatCode>#,##0.00</formatCode>
                <ptCount val="12"/>
                <pt idx="0">
                  <v>219292.94</v>
                </pt>
                <pt idx="1">
                  <v>218436.81</v>
                </pt>
                <pt idx="2">
                  <v>102311.05</v>
                </pt>
                <pt idx="3">
                  <v>263398.5</v>
                </pt>
                <pt idx="4">
                  <v>139559.57</v>
                </pt>
                <pt idx="5">
                  <v>292034.61</v>
                </pt>
                <pt idx="6">
                  <v>106785.85</v>
                </pt>
                <pt idx="7">
                  <v>190973.41</v>
                </pt>
                <pt idx="8">
                  <v>125931.14</v>
                </pt>
                <pt idx="9">
                  <v>114456.03</v>
                </pt>
                <pt idx="10">
                  <v>190303.96</v>
                </pt>
              </numCache>
            </numRef>
          </val>
        </ser>
        <ser>
          <idx val="3"/>
          <order val="1"/>
          <tx>
            <strRef>
              <f>'10 June - 16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June - 16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June - 16 June'!$D$5:$D$18</f>
              <numCache>
                <formatCode>#,##0.00</formatCode>
                <ptCount val="12"/>
                <pt idx="0">
                  <v>236155.67</v>
                </pt>
                <pt idx="1">
                  <v>218653.28</v>
                </pt>
                <pt idx="2">
                  <v>110836.84</v>
                </pt>
                <pt idx="3">
                  <v>274238.72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8">
                  <v>170108.44</v>
                </pt>
                <pt idx="9">
                  <v>115659.7</v>
                </pt>
                <pt idx="10">
                  <v>183813.79</v>
                </pt>
                <pt idx="11">
                  <v>169068.42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June - 23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June'!$C$5:$C$18</f>
              <numCache>
                <formatCode>#,##0.00</formatCode>
                <ptCount val="12"/>
                <pt idx="0">
                  <v>221748.26</v>
                </pt>
                <pt idx="1">
                  <v>261691.89</v>
                </pt>
                <pt idx="2">
                  <v>98566.64</v>
                </pt>
                <pt idx="3">
                  <v>256409.55</v>
                </pt>
                <pt idx="4">
                  <v>133443.57</v>
                </pt>
                <pt idx="5">
                  <v>332604.81</v>
                </pt>
                <pt idx="6">
                  <v>95039.87</v>
                </pt>
                <pt idx="7">
                  <v>172619.4</v>
                </pt>
                <pt idx="8">
                  <v>121208.28</v>
                </pt>
                <pt idx="9">
                  <v>107966.63</v>
                </pt>
                <pt idx="10">
                  <v>166426.97</v>
                </pt>
              </numCache>
            </numRef>
          </val>
        </ser>
        <ser>
          <idx val="3"/>
          <order val="1"/>
          <tx>
            <strRef>
              <f>'17 June - 23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June - 23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June - 23 June'!$D$5:$D$18</f>
              <numCache>
                <formatCode>#,##0.00</formatCode>
                <ptCount val="12"/>
                <pt idx="0">
                  <v>250573.07</v>
                </pt>
                <pt idx="1">
                  <v>248168.49</v>
                </pt>
                <pt idx="2">
                  <v>99413.99000000001</v>
                </pt>
                <pt idx="3">
                  <v>303531.06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8">
                  <v>204166.38</v>
                </pt>
                <pt idx="9">
                  <v>119243.42</v>
                </pt>
                <pt idx="10">
                  <v>193070.24</v>
                </pt>
                <pt idx="11">
                  <v>145702.12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June - 30 June'!$C$3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June'!$C$5:$C$18</f>
              <numCache>
                <formatCode>#,##0.00</formatCode>
                <ptCount val="12"/>
                <pt idx="0">
                  <v>282104.45</v>
                </pt>
                <pt idx="1">
                  <v>246232.93</v>
                </pt>
                <pt idx="2">
                  <v>111333.96</v>
                </pt>
                <pt idx="3">
                  <v>358487.91</v>
                </pt>
                <pt idx="4">
                  <v>130369.13</v>
                </pt>
                <pt idx="5">
                  <v>323957.95</v>
                </pt>
                <pt idx="6">
                  <v>105734.37</v>
                </pt>
                <pt idx="7">
                  <v>198019.77</v>
                </pt>
                <pt idx="8">
                  <v>179618.33</v>
                </pt>
                <pt idx="9">
                  <v>120360.07</v>
                </pt>
                <pt idx="10">
                  <v>165635.18</v>
                </pt>
              </numCache>
            </numRef>
          </val>
        </ser>
        <ser>
          <idx val="3"/>
          <order val="1"/>
          <tx>
            <strRef>
              <f>'24 June - 30 June'!$D$3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June - 30 June'!$A$5:$A$18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June - 30 June'!$D$5:$D$18</f>
              <numCache>
                <formatCode>#,##0.00</formatCode>
                <ptCount val="12"/>
                <pt idx="0">
                  <v>271223.01</v>
                </pt>
                <pt idx="1">
                  <v>268311.86</v>
                </pt>
                <pt idx="2">
                  <v>110389.7</v>
                </pt>
                <pt idx="3">
                  <v>345874.43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8">
                  <v>233344.84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July - 7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July'!$C$5:$C$18</f>
              <numCache>
                <formatCode>#,##0.00</formatCode>
                <ptCount val="12"/>
                <pt idx="0">
                  <v>245546.09</v>
                </pt>
                <pt idx="1">
                  <v>209650.3</v>
                </pt>
                <pt idx="2">
                  <v>101240.13</v>
                </pt>
                <pt idx="3">
                  <v>285855.02</v>
                </pt>
                <pt idx="4">
                  <v>133920</v>
                </pt>
                <pt idx="5">
                  <v>294749.6</v>
                </pt>
                <pt idx="6">
                  <v>96327.57000000001</v>
                </pt>
                <pt idx="7">
                  <v>183017.69</v>
                </pt>
                <pt idx="8">
                  <v>195318.92</v>
                </pt>
                <pt idx="9">
                  <v>95020.94</v>
                </pt>
                <pt idx="10">
                  <v>163217.77</v>
                </pt>
              </numCache>
            </numRef>
          </val>
        </ser>
        <ser>
          <idx val="3"/>
          <order val="1"/>
          <tx>
            <strRef>
              <f>'1 July - 7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July - 7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July - 7 July'!$D$5:$D$18</f>
              <numCache>
                <formatCode>#,##0.00</formatCode>
                <ptCount val="12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3">
                  <v>285273.64</v>
                </pt>
                <pt idx="4">
                  <v>151033.79</v>
                </pt>
                <pt idx="5">
                  <v>388755.04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July - 14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July'!$C$5:$C$18</f>
              <numCache>
                <formatCode>#,##0.00</formatCode>
                <ptCount val="12"/>
                <pt idx="0">
                  <v>256768.79</v>
                </pt>
                <pt idx="1">
                  <v>210702.68</v>
                </pt>
                <pt idx="2">
                  <v>89728.09</v>
                </pt>
                <pt idx="3">
                  <v>301963.78</v>
                </pt>
                <pt idx="4">
                  <v>146724.76</v>
                </pt>
                <pt idx="5">
                  <v>280855.2</v>
                </pt>
                <pt idx="6">
                  <v>100133.45</v>
                </pt>
                <pt idx="7">
                  <v>216088.13</v>
                </pt>
                <pt idx="8">
                  <v>177017.51</v>
                </pt>
                <pt idx="9">
                  <v>111524.18</v>
                </pt>
                <pt idx="10">
                  <v>159725.26</v>
                </pt>
              </numCache>
            </numRef>
          </val>
        </ser>
        <ser>
          <idx val="3"/>
          <order val="1"/>
          <tx>
            <strRef>
              <f>'8 July - 14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July - 14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July - 14 July'!$D$5:$D$18</f>
              <numCache>
                <formatCode>#,##0.00</formatCode>
                <ptCount val="12"/>
                <pt idx="0">
                  <v>226514.71</v>
                </pt>
                <pt idx="1">
                  <v>204794.67</v>
                </pt>
                <pt idx="2">
                  <v>95007.83</v>
                </pt>
                <pt idx="3">
                  <v>279254.78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July - 21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July'!$C$5:$C$18</f>
              <numCache>
                <formatCode>#,##0.00</formatCode>
                <ptCount val="12"/>
                <pt idx="0">
                  <v>217395.42</v>
                </pt>
                <pt idx="1">
                  <v>205685.39</v>
                </pt>
                <pt idx="2">
                  <v>86864.53</v>
                </pt>
                <pt idx="3">
                  <v>313752.77</v>
                </pt>
                <pt idx="4">
                  <v>137485.14</v>
                </pt>
                <pt idx="5">
                  <v>334025.02</v>
                </pt>
                <pt idx="6">
                  <v>109291.87</v>
                </pt>
                <pt idx="7">
                  <v>187408.16</v>
                </pt>
                <pt idx="8">
                  <v>131760.91</v>
                </pt>
                <pt idx="9">
                  <v>100114.61</v>
                </pt>
                <pt idx="10">
                  <v>160738.37</v>
                </pt>
              </numCache>
            </numRef>
          </val>
        </ser>
        <ser>
          <idx val="3"/>
          <order val="1"/>
          <tx>
            <strRef>
              <f>'15 July - 21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July - 21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July - 21 July'!$D$5:$D$18</f>
              <numCache>
                <formatCode>#,##0.00</formatCode>
                <ptCount val="12"/>
                <pt idx="0">
                  <v>246778</v>
                </pt>
                <pt idx="1">
                  <v>191381.89</v>
                </pt>
                <pt idx="2">
                  <v>97633.12</v>
                </pt>
                <pt idx="3">
                  <v>304596.21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136175.84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July - 28 July'!$C$3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July'!$C$5:$C$18</f>
              <numCache>
                <formatCode>#,##0.00</formatCode>
                <ptCount val="12"/>
                <pt idx="0">
                  <v>250543.24</v>
                </pt>
                <pt idx="1">
                  <v>181186.84</v>
                </pt>
                <pt idx="2">
                  <v>123620.4</v>
                </pt>
                <pt idx="3">
                  <v>337196.93</v>
                </pt>
                <pt idx="4">
                  <v>159174.91</v>
                </pt>
                <pt idx="5">
                  <v>358331.75</v>
                </pt>
                <pt idx="6">
                  <v>115750.62</v>
                </pt>
                <pt idx="7">
                  <v>194552.15</v>
                </pt>
                <pt idx="8">
                  <v>125329.08</v>
                </pt>
                <pt idx="9">
                  <v>112551.33</v>
                </pt>
                <pt idx="10">
                  <v>185885.17</v>
                </pt>
              </numCache>
            </numRef>
          </val>
        </ser>
        <ser>
          <idx val="3"/>
          <order val="1"/>
          <tx>
            <strRef>
              <f>'22 July - 28 July'!$D$3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July - 28 July'!$A$5:$A$18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July - 28 July'!$D$5:$D$18</f>
              <numCache>
                <formatCode>#,##0.00</formatCode>
                <ptCount val="12"/>
                <pt idx="0">
                  <formatCode>General</formatCode>
                  <v>271945.84</v>
                </pt>
                <pt idx="1">
                  <v>260258.72</v>
                </pt>
                <pt idx="2">
                  <v>125957.48</v>
                </pt>
                <pt idx="3">
                  <v>342049.35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July - 4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August'!$C$5:$C$18</f>
              <numCache>
                <formatCode>#,##0.00</formatCode>
                <ptCount val="12"/>
                <pt idx="0">
                  <v>233832.48</v>
                </pt>
                <pt idx="1">
                  <v>172949.61</v>
                </pt>
                <pt idx="2">
                  <v>111199.51</v>
                </pt>
                <pt idx="3">
                  <v>385919.95</v>
                </pt>
                <pt idx="4">
                  <v>172402.92</v>
                </pt>
                <pt idx="5">
                  <v>302155.05</v>
                </pt>
                <pt idx="6">
                  <v>115565.63</v>
                </pt>
                <pt idx="7">
                  <v>205902.87</v>
                </pt>
                <pt idx="8">
                  <v>125489.25</v>
                </pt>
                <pt idx="9">
                  <v>115125.41</v>
                </pt>
                <pt idx="10">
                  <v>197995.06</v>
                </pt>
              </numCache>
            </numRef>
          </val>
        </ser>
        <ser>
          <idx val="3"/>
          <order val="1"/>
          <tx>
            <strRef>
              <f>'29 July - 4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July - 4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July - 4 August'!$D$5:$D$18</f>
              <numCache>
                <formatCode>#,##0.00</formatCode>
                <ptCount val="12"/>
                <pt idx="0">
                  <formatCode>General</formatCode>
                  <v>261957.32</v>
                </pt>
                <pt idx="1">
                  <v>212110.67</v>
                </pt>
                <pt idx="2">
                  <v>132507.6</v>
                </pt>
                <pt idx="3">
                  <v>347205.66</v>
                </pt>
                <pt idx="4">
                  <v>139006.44</v>
                </pt>
                <pt idx="5">
                  <v>363089.93</v>
                </pt>
                <pt idx="6">
                  <v>157461.4</v>
                </pt>
                <pt idx="7">
                  <v>216093.02</v>
                </pt>
                <pt idx="8">
                  <v>138311.25</v>
                </pt>
                <pt idx="9">
                  <v>126564.93</v>
                </pt>
                <pt idx="10">
                  <v>214731.95</v>
                </pt>
                <pt idx="11">
                  <v>162603.09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August - 11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August'!$C$5:$C$18</f>
              <numCache>
                <formatCode>#,##0.00</formatCode>
                <ptCount val="12"/>
                <pt idx="0">
                  <v>282687.6</v>
                </pt>
                <pt idx="1">
                  <v>163472.63</v>
                </pt>
                <pt idx="2">
                  <v>129516.34</v>
                </pt>
                <pt idx="3">
                  <v>274334.31</v>
                </pt>
                <pt idx="4">
                  <v>144176.83</v>
                </pt>
                <pt idx="5">
                  <v>318202.9</v>
                </pt>
                <pt idx="6">
                  <v>118179.37</v>
                </pt>
                <pt idx="7">
                  <v>206172.99</v>
                </pt>
                <pt idx="8">
                  <v>180202.37</v>
                </pt>
                <pt idx="9">
                  <v>107160.67</v>
                </pt>
                <pt idx="10">
                  <v>166398.83</v>
                </pt>
              </numCache>
            </numRef>
          </val>
        </ser>
        <ser>
          <idx val="3"/>
          <order val="1"/>
          <tx>
            <strRef>
              <f>'5 August - 11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August - 11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August - 11 August'!$D$5:$D$18</f>
              <numCache>
                <formatCode>#,##0.00</formatCode>
                <ptCount val="12"/>
                <pt idx="0">
                  <formatCode>General</formatCode>
                  <v>267972.63</v>
                </pt>
                <pt idx="1">
                  <v>215626.05</v>
                </pt>
                <pt idx="2">
                  <v>103484.13</v>
                </pt>
                <pt idx="3">
                  <v>317143.52</v>
                </pt>
                <pt idx="4">
                  <v>126339</v>
                </pt>
                <pt idx="5">
                  <v>313954.43</v>
                </pt>
                <pt idx="6">
                  <v>120679.88</v>
                </pt>
                <pt idx="7">
                  <v>210396.93</v>
                </pt>
                <pt idx="8">
                  <v>182706.98</v>
                </pt>
                <pt idx="9">
                  <v>123420.75</v>
                </pt>
                <pt idx="10">
                  <v>198462.73</v>
                </pt>
                <pt idx="11">
                  <v>143407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August - 18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August'!$C$5:$C$18</f>
              <numCache>
                <formatCode>#,##0.00</formatCode>
                <ptCount val="12"/>
                <pt idx="0">
                  <v>207282.75</v>
                </pt>
                <pt idx="1">
                  <v>143954.67</v>
                </pt>
                <pt idx="2">
                  <v>89612.08</v>
                </pt>
                <pt idx="3">
                  <v>258233.9</v>
                </pt>
                <pt idx="4">
                  <v>143814.22</v>
                </pt>
                <pt idx="5">
                  <v>296762.82</v>
                </pt>
                <pt idx="6">
                  <v>114345.39</v>
                </pt>
                <pt idx="7">
                  <v>194113.41</v>
                </pt>
                <pt idx="8">
                  <v>118383.8</v>
                </pt>
                <pt idx="9">
                  <v>93204.23</v>
                </pt>
                <pt idx="10">
                  <v>164548.48</v>
                </pt>
              </numCache>
            </numRef>
          </val>
        </ser>
        <ser>
          <idx val="3"/>
          <order val="1"/>
          <tx>
            <strRef>
              <f>'12 August - 18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August - 18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August - 18 August'!$D$5:$D$18</f>
              <numCache>
                <formatCode>#,##0.00</formatCode>
                <ptCount val="12"/>
                <pt idx="0">
                  <v>222616.58</v>
                </pt>
                <pt idx="1">
                  <v>197449.78</v>
                </pt>
                <pt idx="2">
                  <v>78509.75</v>
                </pt>
                <pt idx="3">
                  <v>311549.81</v>
                </pt>
                <pt idx="4">
                  <v>154333.15</v>
                </pt>
                <pt idx="5">
                  <v>351899.09</v>
                </pt>
                <pt idx="6">
                  <v>158515.24</v>
                </pt>
                <pt idx="7">
                  <v>217294.08</v>
                </pt>
                <pt idx="8">
                  <v>149035.45</v>
                </pt>
                <pt idx="9">
                  <v>119169.43</v>
                </pt>
                <pt idx="10">
                  <v>209337.65</v>
                </pt>
                <pt idx="11">
                  <v>147869.29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August - 25 August'!$C$3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August'!$C$5:$C$18</f>
              <numCache>
                <formatCode>#,##0.00</formatCode>
                <ptCount val="12"/>
                <pt idx="0">
                  <v>209469.86</v>
                </pt>
                <pt idx="1">
                  <v>181006.65</v>
                </pt>
                <pt idx="2">
                  <v>105933.58</v>
                </pt>
                <pt idx="3">
                  <v>275025.62</v>
                </pt>
                <pt idx="4">
                  <v>134373.57</v>
                </pt>
                <pt idx="5">
                  <v>302044.64</v>
                </pt>
                <pt idx="6">
                  <v>120580.58</v>
                </pt>
                <pt idx="7">
                  <v>208254.48</v>
                </pt>
                <pt idx="8">
                  <v>113631.98</v>
                </pt>
                <pt idx="9">
                  <v>112972.82</v>
                </pt>
                <pt idx="10">
                  <v>159987.04</v>
                </pt>
              </numCache>
            </numRef>
          </val>
        </ser>
        <ser>
          <idx val="3"/>
          <order val="1"/>
          <tx>
            <strRef>
              <f>'19 August - 25 August'!$D$3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August - 25 August'!$A$5:$A$18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August - 25 August'!$D$5:$D$18</f>
              <numCache>
                <formatCode>#,##0.00</formatCode>
                <ptCount val="12"/>
                <pt idx="0">
                  <v>231767.72</v>
                </pt>
                <pt idx="1">
                  <v>221483.49</v>
                </pt>
                <pt idx="2">
                  <v>108339.36</v>
                </pt>
                <pt idx="3">
                  <v>318980.9</v>
                </pt>
                <pt idx="4">
                  <v>146426.02</v>
                </pt>
                <pt idx="5">
                  <v>360091.79</v>
                </pt>
                <pt idx="6">
                  <v>140341.66</v>
                </pt>
                <pt idx="7">
                  <v>198305.39</v>
                </pt>
                <pt idx="8">
                  <v>144589.57</v>
                </pt>
                <pt idx="9">
                  <v>132180.87</v>
                </pt>
                <pt idx="10">
                  <v>198741.03</v>
                </pt>
                <pt idx="11">
                  <v>159131.38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August - 1 September'!$C$3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September'!$C$5:$C$18</f>
              <numCache>
                <formatCode>#,##0.00</formatCode>
                <ptCount val="12"/>
                <pt idx="0">
                  <v>235760.36</v>
                </pt>
                <pt idx="1">
                  <v>200562.47</v>
                </pt>
                <pt idx="2">
                  <v>116687.5</v>
                </pt>
                <pt idx="3">
                  <v>272847.31</v>
                </pt>
                <pt idx="4">
                  <v>142890.54</v>
                </pt>
                <pt idx="5">
                  <v>342584.91</v>
                </pt>
                <pt idx="6">
                  <v>117324.77</v>
                </pt>
                <pt idx="7">
                  <v>229593.2</v>
                </pt>
                <pt idx="8">
                  <v>121573.93</v>
                </pt>
                <pt idx="9">
                  <v>108880.84</v>
                </pt>
                <pt idx="10">
                  <v>199994.64</v>
                </pt>
              </numCache>
            </numRef>
          </val>
        </ser>
        <ser>
          <idx val="3"/>
          <order val="1"/>
          <tx>
            <strRef>
              <f>'26 August - 1 September'!$D$3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August - 1 September'!$A$5:$A$18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August - 1 September'!$D$5:$D$18</f>
              <numCache>
                <formatCode>#,##0.00</formatCode>
                <ptCount val="12"/>
                <pt idx="0">
                  <v>248696.5</v>
                </pt>
                <pt idx="1">
                  <v>252827.21</v>
                </pt>
                <pt idx="2">
                  <v>100438.88</v>
                </pt>
                <pt idx="3">
                  <v>336182.19</v>
                </pt>
                <pt idx="4">
                  <v>152135.33</v>
                </pt>
                <pt idx="5">
                  <v>359955.15</v>
                </pt>
                <pt idx="6">
                  <v>142994.71</v>
                </pt>
                <pt idx="7">
                  <v>200652.94</v>
                </pt>
                <pt idx="8">
                  <v>149768.1</v>
                </pt>
                <pt idx="9">
                  <v>139344.52</v>
                </pt>
                <pt idx="10">
                  <v>190535.34</v>
                </pt>
                <pt idx="11">
                  <v>171996.21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Sept - 8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Sept'!$C$5:$C$18</f>
              <numCache>
                <formatCode>#,##0.00</formatCode>
                <ptCount val="12"/>
                <pt idx="0">
                  <v>213519.69</v>
                </pt>
                <pt idx="1">
                  <v>186714.6</v>
                </pt>
                <pt idx="2">
                  <v>89849.67</v>
                </pt>
                <pt idx="3">
                  <v>252212.29</v>
                </pt>
                <pt idx="4">
                  <v>135890.1</v>
                </pt>
                <pt idx="5">
                  <v>310234.06</v>
                </pt>
                <pt idx="6">
                  <v>109276.21</v>
                </pt>
                <pt idx="7">
                  <v>214545.41</v>
                </pt>
                <pt idx="8">
                  <v>130538.82</v>
                </pt>
                <pt idx="9">
                  <v>118549.89</v>
                </pt>
                <pt idx="10">
                  <v>194777.78</v>
                </pt>
              </numCache>
            </numRef>
          </val>
        </ser>
        <ser>
          <idx val="3"/>
          <order val="1"/>
          <tx>
            <strRef>
              <f>'2 Sept - 8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Sept - 8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Sept - 8 Sept'!$D$5:$D$18</f>
              <numCache>
                <formatCode>#,##0.00</formatCode>
                <ptCount val="12"/>
                <pt idx="0">
                  <v>239676.58</v>
                </pt>
                <pt idx="1">
                  <v>216653.28</v>
                </pt>
                <pt idx="2">
                  <v>120525.49</v>
                </pt>
                <pt idx="3">
                  <v>320270.55</v>
                </pt>
                <pt idx="4">
                  <v>146999.51</v>
                </pt>
                <pt idx="5">
                  <v>328209.32</v>
                </pt>
                <pt idx="6">
                  <v>145518.2</v>
                </pt>
                <pt idx="7">
                  <v>208795.8</v>
                </pt>
                <pt idx="8">
                  <v>154810.43</v>
                </pt>
                <pt idx="9">
                  <v>112130.31</v>
                </pt>
                <pt idx="10">
                  <v>179173.79</v>
                </pt>
                <pt idx="11">
                  <v>161486.17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Sept - 15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Sept'!$C$5:$C$18</f>
              <numCache>
                <formatCode>#,##0.00</formatCode>
                <ptCount val="12"/>
                <pt idx="0">
                  <v>217042.11</v>
                </pt>
                <pt idx="1">
                  <v>173402.6</v>
                </pt>
                <pt idx="2">
                  <v>82418.49000000001</v>
                </pt>
                <pt idx="3">
                  <v>272478.73</v>
                </pt>
                <pt idx="4">
                  <v>143496.9</v>
                </pt>
                <pt idx="5">
                  <v>317744.93</v>
                </pt>
                <pt idx="6">
                  <v>118270.43</v>
                </pt>
                <pt idx="7">
                  <v>189134.68</v>
                </pt>
                <pt idx="8">
                  <v>142475.23</v>
                </pt>
                <pt idx="9">
                  <v>114165.74</v>
                </pt>
                <pt idx="10">
                  <v>208719</v>
                </pt>
              </numCache>
            </numRef>
          </val>
        </ser>
        <ser>
          <idx val="3"/>
          <order val="1"/>
          <tx>
            <strRef>
              <f>'9 Sept - 15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Sept - 15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Sept - 15 Sept'!$D$5:$D$18</f>
              <numCache>
                <formatCode>#,##0.00</formatCode>
                <ptCount val="12"/>
                <pt idx="0">
                  <v>239200.57</v>
                </pt>
                <pt idx="1">
                  <v>229551.86</v>
                </pt>
                <pt idx="2">
                  <v>100323.41</v>
                </pt>
                <pt idx="3">
                  <v>313819.25</v>
                </pt>
                <pt idx="4">
                  <v>143750.61</v>
                </pt>
                <pt idx="5">
                  <v>326839.88</v>
                </pt>
                <pt idx="6">
                  <v>125103.86</v>
                </pt>
                <pt idx="7">
                  <v>193711.92</v>
                </pt>
                <pt idx="8">
                  <v>146744.19</v>
                </pt>
                <pt idx="9">
                  <v>124313.82</v>
                </pt>
                <pt idx="10">
                  <v>218690.87</v>
                </pt>
                <pt idx="11">
                  <v>154325.2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Sept - 22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Sept'!$C$5:$C$18</f>
              <numCache>
                <formatCode>#,##0.00</formatCode>
                <ptCount val="12"/>
                <pt idx="0">
                  <v>247678.19</v>
                </pt>
                <pt idx="1">
                  <v>167848.11</v>
                </pt>
                <pt idx="2">
                  <v>109260.78</v>
                </pt>
                <pt idx="3">
                  <v>289688.55</v>
                </pt>
                <pt idx="4">
                  <v>122339.05</v>
                </pt>
                <pt idx="5">
                  <v>304645.56</v>
                </pt>
                <pt idx="6">
                  <v>142460.76</v>
                </pt>
                <pt idx="7">
                  <v>207479.69</v>
                </pt>
                <pt idx="8">
                  <v>170711.07</v>
                </pt>
                <pt idx="9">
                  <v>115245.6</v>
                </pt>
                <pt idx="10">
                  <v>203495.83</v>
                </pt>
              </numCache>
            </numRef>
          </val>
        </ser>
        <ser>
          <idx val="3"/>
          <order val="1"/>
          <tx>
            <strRef>
              <f>'16 Sept - 22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Sept - 22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Sept - 22 Sept'!$D$5:$D$18</f>
              <numCache>
                <formatCode>#,##0.00</formatCode>
                <ptCount val="12"/>
                <pt idx="0">
                  <v>225559.84</v>
                </pt>
                <pt idx="1">
                  <v>224151.46</v>
                </pt>
                <pt idx="2">
                  <v>96532.63</v>
                </pt>
                <pt idx="3">
                  <v>319714.43</v>
                </pt>
                <pt idx="4">
                  <v>139152.81</v>
                </pt>
                <pt idx="5">
                  <v>285384</v>
                </pt>
                <pt idx="6">
                  <v>131916.09</v>
                </pt>
                <pt idx="7">
                  <v>171225.27</v>
                </pt>
                <pt idx="8">
                  <v>243243.69</v>
                </pt>
                <pt idx="9">
                  <v>115075.28</v>
                </pt>
                <pt idx="10">
                  <v>213804.3</v>
                </pt>
                <pt idx="11">
                  <v>155970.38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Sept - 29 Sept'!$C$3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Sept'!$C$5:$C$18</f>
              <numCache>
                <formatCode>#,##0.00</formatCode>
                <ptCount val="12"/>
                <pt idx="0">
                  <v>284082.02</v>
                </pt>
                <pt idx="1">
                  <v>196824.83</v>
                </pt>
                <pt idx="2">
                  <v>113236.98</v>
                </pt>
                <pt idx="3">
                  <v>351551.09</v>
                </pt>
                <pt idx="4">
                  <v>141268.02</v>
                </pt>
                <pt idx="5">
                  <v>328622.22</v>
                </pt>
                <pt idx="6">
                  <v>131554.38</v>
                </pt>
                <pt idx="7">
                  <v>215425.73</v>
                </pt>
                <pt idx="8">
                  <v>194318.28</v>
                </pt>
                <pt idx="9">
                  <v>140331.74</v>
                </pt>
                <pt idx="10">
                  <v>214261.49</v>
                </pt>
              </numCache>
            </numRef>
          </val>
        </ser>
        <ser>
          <idx val="3"/>
          <order val="1"/>
          <tx>
            <strRef>
              <f>'23 Sept - 29 Sept'!$D$3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Sept - 29 Sept'!$A$5:$A$18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Sept - 29 Sept'!$D$5:$D$18</f>
              <numCache>
                <formatCode>#,##0.00</formatCode>
                <ptCount val="12"/>
                <pt idx="0">
                  <v>313795.07</v>
                </pt>
                <pt idx="1">
                  <v>220920.76</v>
                </pt>
                <pt idx="2">
                  <v>112847.78</v>
                </pt>
                <pt idx="3">
                  <v>363369.98</v>
                </pt>
                <pt idx="4">
                  <v>149468.42</v>
                </pt>
                <pt idx="5">
                  <v>371983.14</v>
                </pt>
                <pt idx="6">
                  <v>158117.67</v>
                </pt>
                <pt idx="7">
                  <v>214469.54</v>
                </pt>
                <pt idx="8">
                  <v>275297.55</v>
                </pt>
                <pt idx="9">
                  <v>136655.46</v>
                </pt>
                <pt idx="10">
                  <v>243291.29</v>
                </pt>
                <pt idx="11">
                  <v>178728.72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Sept - 6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Oct'!$C$5:$C$18</f>
              <numCache>
                <formatCode>#,##0.00</formatCode>
                <ptCount val="12"/>
                <pt idx="0">
                  <v>264457.42</v>
                </pt>
                <pt idx="1">
                  <v>192360.95</v>
                </pt>
                <pt idx="2">
                  <v>99034.45</v>
                </pt>
                <pt idx="3">
                  <v>341106.39</v>
                </pt>
                <pt idx="4">
                  <v>127538.21</v>
                </pt>
                <pt idx="5">
                  <v>314738.1</v>
                </pt>
                <pt idx="6">
                  <v>122013.69</v>
                </pt>
                <pt idx="7">
                  <v>205792.41</v>
                </pt>
                <pt idx="8">
                  <v>247604.51</v>
                </pt>
                <pt idx="9">
                  <v>137044.49</v>
                </pt>
                <pt idx="10">
                  <v>204294.75</v>
                </pt>
              </numCache>
            </numRef>
          </val>
        </ser>
        <ser>
          <idx val="3"/>
          <order val="1"/>
          <tx>
            <strRef>
              <f>'30 Sept - 6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Sept - 6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Sept - 6 Oct'!$D$5:$D$18</f>
              <numCache>
                <formatCode>#,##0.00</formatCode>
                <ptCount val="12"/>
                <pt idx="0">
                  <v>247392.33</v>
                </pt>
                <pt idx="1">
                  <v>220441.59</v>
                </pt>
                <pt idx="2">
                  <v>107107.59</v>
                </pt>
                <pt idx="3">
                  <v>310781.22</v>
                </pt>
                <pt idx="4">
                  <v>147789.66</v>
                </pt>
                <pt idx="5">
                  <v>310363.95</v>
                </pt>
                <pt idx="6">
                  <v>145869.65</v>
                </pt>
                <pt idx="7">
                  <v>203625.52</v>
                </pt>
                <pt idx="8">
                  <v>146491.63</v>
                </pt>
                <pt idx="9">
                  <v>124737.19</v>
                </pt>
                <pt idx="10">
                  <v>187465.36</v>
                </pt>
                <pt idx="11">
                  <v>161171.99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Oct - 13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Oct'!$C$5:$C$18</f>
              <numCache>
                <formatCode>#,##0.00</formatCode>
                <ptCount val="12"/>
                <pt idx="0">
                  <v>236866.46</v>
                </pt>
                <pt idx="1">
                  <v>144768.66</v>
                </pt>
                <pt idx="2">
                  <v>93938.69</v>
                </pt>
                <pt idx="3">
                  <v>294741.78</v>
                </pt>
                <pt idx="4">
                  <v>143479.23</v>
                </pt>
                <pt idx="5">
                  <v>320816.82</v>
                </pt>
                <pt idx="6">
                  <v>120710.17</v>
                </pt>
                <pt idx="7">
                  <v>212472.33</v>
                </pt>
                <pt idx="8">
                  <v>146937.33</v>
                </pt>
                <pt idx="9">
                  <v>111304.27</v>
                </pt>
                <pt idx="10">
                  <v>190925.54</v>
                </pt>
              </numCache>
            </numRef>
          </val>
        </ser>
        <ser>
          <idx val="3"/>
          <order val="1"/>
          <tx>
            <strRef>
              <f>'7 Oct - 13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Oct - 13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Oct - 13 Oct'!$D$5:$D$18</f>
              <numCache>
                <formatCode>#,##0.00</formatCode>
                <ptCount val="12"/>
                <pt idx="0">
                  <v>234693.29</v>
                </pt>
                <pt idx="1">
                  <v>178156.7</v>
                </pt>
                <pt idx="2">
                  <v>104958.15</v>
                </pt>
                <pt idx="3">
                  <v>307459.09</v>
                </pt>
                <pt idx="4">
                  <v>152374.91</v>
                </pt>
                <pt idx="5">
                  <v>330816.72</v>
                </pt>
                <pt idx="6">
                  <v>132859.36</v>
                </pt>
                <pt idx="7">
                  <v>196053.8</v>
                </pt>
                <pt idx="8">
                  <v>163134.86</v>
                </pt>
                <pt idx="9">
                  <v>113246.57</v>
                </pt>
                <pt idx="10">
                  <v>201796.54</v>
                </pt>
                <pt idx="11">
                  <v>148910.86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Oct - 20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Oct'!$C$5:$C$18</f>
              <numCache>
                <formatCode>#,##0.00</formatCode>
                <ptCount val="12"/>
                <pt idx="0">
                  <v>231844.33</v>
                </pt>
                <pt idx="2">
                  <v>80789.17</v>
                </pt>
                <pt idx="3">
                  <v>377913.24</v>
                </pt>
                <pt idx="4">
                  <v>129317.66</v>
                </pt>
                <pt idx="5">
                  <v>314124.37</v>
                </pt>
                <pt idx="6">
                  <v>122918.08</v>
                </pt>
                <pt idx="7">
                  <v>200136.97</v>
                </pt>
                <pt idx="8">
                  <v>137169.71</v>
                </pt>
                <pt idx="9">
                  <v>110320.85</v>
                </pt>
                <pt idx="10">
                  <v>204905.51</v>
                </pt>
              </numCache>
            </numRef>
          </val>
        </ser>
        <ser>
          <idx val="3"/>
          <order val="1"/>
          <tx>
            <strRef>
              <f>'14 Oct - 20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Oct - 20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'14 Oct - 20 Oct'!$D$5:$D$18</f>
              <numCache>
                <formatCode>#,##0.00</formatCode>
                <ptCount val="12"/>
                <pt idx="0">
                  <v>220957.5</v>
                </pt>
                <pt idx="1">
                  <v>212391.65</v>
                </pt>
                <pt idx="2">
                  <v>108340.48</v>
                </pt>
                <pt idx="3">
                  <v>321762.17</v>
                </pt>
                <pt idx="4">
                  <v>138165.29</v>
                </pt>
                <pt idx="5">
                  <v>325751.75</v>
                </pt>
                <pt idx="6">
                  <v>144094.25</v>
                </pt>
                <pt idx="7">
                  <v>204599.91</v>
                </pt>
                <pt idx="8">
                  <v>180048.8</v>
                </pt>
                <pt idx="9">
                  <v>117277.55</v>
                </pt>
                <pt idx="10">
                  <v>219205.08</v>
                </pt>
                <pt idx="11">
                  <v>152946.78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Oct - 27 Oct'!$C$3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Oct'!$C$5:$C$18</f>
              <numCache>
                <formatCode>#,##0.00</formatCode>
                <ptCount val="12"/>
                <pt idx="0">
                  <v>232688.85</v>
                </pt>
                <pt idx="1">
                  <v>53942.16</v>
                </pt>
                <pt idx="2">
                  <v>112191.76</v>
                </pt>
                <pt idx="3">
                  <v>362627.37</v>
                </pt>
                <pt idx="4">
                  <v>139413.9</v>
                </pt>
                <pt idx="5">
                  <v>304811.66</v>
                </pt>
                <pt idx="6">
                  <v>125171.07</v>
                </pt>
                <pt idx="7">
                  <v>228423.59</v>
                </pt>
                <pt idx="8">
                  <v>158104.99</v>
                </pt>
                <pt idx="9">
                  <v>115349.58</v>
                </pt>
                <pt idx="10">
                  <v>216726.79</v>
                </pt>
              </numCache>
            </numRef>
          </val>
        </ser>
        <ser>
          <idx val="3"/>
          <order val="1"/>
          <tx>
            <strRef>
              <f>'21 Oct - 27 Oct'!$D$3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Oct - 27 Oct'!$A$5:$A$18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'21 Oct - 27 Oct'!$D$5:$D$18</f>
              <numCache>
                <formatCode>#,##0.00</formatCode>
                <ptCount val="12"/>
                <pt idx="0">
                  <v>235865.33</v>
                </pt>
                <pt idx="1">
                  <v>214438.21</v>
                </pt>
                <pt idx="2">
                  <v>120214.26</v>
                </pt>
                <pt idx="3">
                  <v>310997.36</v>
                </pt>
                <pt idx="4">
                  <v>136515.1</v>
                </pt>
                <pt idx="5">
                  <v>315240.35</v>
                </pt>
                <pt idx="6">
                  <v>141945</v>
                </pt>
                <pt idx="7">
                  <v>194970.43</v>
                </pt>
                <pt idx="8">
                  <v>142533.66</v>
                </pt>
                <pt idx="9">
                  <v>120179.35</v>
                </pt>
                <pt idx="10">
                  <v>227123.11</v>
                </pt>
                <pt idx="11">
                  <v>161595.07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Oct - 3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Nov'!$C$5:$C$18</f>
              <numCache>
                <formatCode>#,##0.00</formatCode>
                <ptCount val="12"/>
                <pt idx="0">
                  <v>240216.24</v>
                </pt>
                <pt idx="1">
                  <v>149101.42</v>
                </pt>
                <pt idx="2">
                  <v>116744.06</v>
                </pt>
                <pt idx="3">
                  <v>308190.77</v>
                </pt>
                <pt idx="4">
                  <v>125359.7</v>
                </pt>
                <pt idx="5">
                  <v>357361.2</v>
                </pt>
                <pt idx="6">
                  <v>137659.51</v>
                </pt>
                <pt idx="7">
                  <v>219864.65</v>
                </pt>
                <pt idx="8">
                  <v>171766.33</v>
                </pt>
                <pt idx="9">
                  <v>113012.36</v>
                </pt>
                <pt idx="10">
                  <v>186727.68</v>
                </pt>
              </numCache>
            </numRef>
          </val>
        </ser>
        <ser>
          <idx val="3"/>
          <order val="1"/>
          <tx>
            <strRef>
              <f>'28 Oct - 3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Oct - 3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'28 Oct - 3 Nov'!$D$5:$D$18</f>
              <numCache>
                <formatCode>#,##0.00</formatCode>
                <ptCount val="12"/>
                <pt idx="0">
                  <v>230483.57</v>
                </pt>
                <pt idx="1">
                  <v>291263.9</v>
                </pt>
                <pt idx="2">
                  <v>105575.36</v>
                </pt>
                <pt idx="3">
                  <v>333384.38</v>
                </pt>
                <pt idx="4">
                  <v>143482.11</v>
                </pt>
                <pt idx="5">
                  <v>341926.5</v>
                </pt>
                <pt idx="6">
                  <v>142162.88</v>
                </pt>
                <pt idx="7">
                  <v>153888.89</v>
                </pt>
                <pt idx="8">
                  <v>161616.66</v>
                </pt>
                <pt idx="9">
                  <v>119031.85</v>
                </pt>
                <pt idx="10">
                  <v>214868.45</v>
                </pt>
                <pt idx="11">
                  <v>185238.67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Nov - 10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Nov'!$C$5:$C$18</f>
              <numCache>
                <formatCode>#,##0.00</formatCode>
                <ptCount val="12"/>
                <pt idx="0">
                  <v>230376.85</v>
                </pt>
                <pt idx="1">
                  <v>179981.92</v>
                </pt>
                <pt idx="2">
                  <v>116486.35</v>
                </pt>
                <pt idx="3">
                  <v>322539.8</v>
                </pt>
                <pt idx="4">
                  <v>142319</v>
                </pt>
                <pt idx="5">
                  <v>325055.41</v>
                </pt>
                <pt idx="6">
                  <v>128157.48</v>
                </pt>
                <pt idx="7">
                  <v>209424.97</v>
                </pt>
                <pt idx="8">
                  <v>164453.7</v>
                </pt>
                <pt idx="9">
                  <v>111401.27</v>
                </pt>
                <pt idx="10">
                  <v>242297.86</v>
                </pt>
              </numCache>
            </numRef>
          </val>
        </ser>
        <ser>
          <idx val="3"/>
          <order val="1"/>
          <tx>
            <strRef>
              <f>'4 Nov - 10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Nov - 10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Nov - 10 Nov'!$D$5:$D$18</f>
              <numCache>
                <formatCode>#,##0.00</formatCode>
                <ptCount val="12"/>
                <pt idx="0">
                  <v>228976.77</v>
                </pt>
                <pt idx="1">
                  <v>203728.44</v>
                </pt>
                <pt idx="2">
                  <v>108699.37</v>
                </pt>
                <pt idx="3">
                  <v>318828.8</v>
                </pt>
                <pt idx="4">
                  <v>132983.03</v>
                </pt>
                <pt idx="5">
                  <v>308365.96</v>
                </pt>
                <pt idx="6">
                  <v>146753.75</v>
                </pt>
                <pt idx="7">
                  <v>215493.07</v>
                </pt>
                <pt idx="8">
                  <v>165767.19</v>
                </pt>
                <pt idx="9">
                  <v>122700.03</v>
                </pt>
                <pt idx="10">
                  <v>201597.1</v>
                </pt>
                <pt idx="11">
                  <v>164475.3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Nov - 17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Nov'!$C$5:$C$18</f>
              <numCache>
                <formatCode>#,##0.00</formatCode>
                <ptCount val="12"/>
                <pt idx="0">
                  <v>230527.2</v>
                </pt>
                <pt idx="1">
                  <v>313293.68</v>
                </pt>
                <pt idx="2">
                  <v>121201.12</v>
                </pt>
                <pt idx="3">
                  <v>354340.71</v>
                </pt>
                <pt idx="4">
                  <v>133992.31</v>
                </pt>
                <pt idx="5">
                  <v>309782.66</v>
                </pt>
                <pt idx="6">
                  <v>137174.29</v>
                </pt>
                <pt idx="7">
                  <v>199894.33</v>
                </pt>
                <pt idx="8">
                  <v>154493.53</v>
                </pt>
                <pt idx="9">
                  <v>128338.69</v>
                </pt>
                <pt idx="10">
                  <v>230025.58</v>
                </pt>
              </numCache>
            </numRef>
          </val>
        </ser>
        <ser>
          <idx val="3"/>
          <order val="1"/>
          <tx>
            <strRef>
              <f>'11 Nov - 17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Nov - 17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Nov - 17 Nov'!$D$5:$D$18</f>
              <numCache>
                <formatCode>#,##0.00</formatCode>
                <ptCount val="12"/>
                <pt idx="0">
                  <v>259568.58</v>
                </pt>
                <pt idx="1">
                  <v>209028.31</v>
                </pt>
                <pt idx="2">
                  <v>101423.55</v>
                </pt>
                <pt idx="3">
                  <v>300109.68</v>
                </pt>
                <pt idx="4">
                  <v>137768.23</v>
                </pt>
                <pt idx="5">
                  <v>311032.46</v>
                </pt>
                <pt idx="6">
                  <v>143951.47</v>
                </pt>
                <pt idx="7">
                  <v>202568.82</v>
                </pt>
                <pt idx="8">
                  <v>187730.76</v>
                </pt>
                <pt idx="9">
                  <v>117265.6</v>
                </pt>
                <pt idx="10">
                  <v>210361.95</v>
                </pt>
                <pt idx="11">
                  <v>165084.29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Nov - 24 Nov'!$C$3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Nov'!$C$5:$C$18</f>
              <numCache>
                <formatCode>#,##0.00</formatCode>
                <ptCount val="12"/>
                <pt idx="0">
                  <v>256902.53</v>
                </pt>
                <pt idx="1">
                  <v>245413.55</v>
                </pt>
                <pt idx="2">
                  <v>136957</v>
                </pt>
                <pt idx="3">
                  <v>358375.04</v>
                </pt>
                <pt idx="4">
                  <v>142236.65</v>
                </pt>
                <pt idx="5">
                  <v>318574.28</v>
                </pt>
                <pt idx="6">
                  <v>128803.75</v>
                </pt>
                <pt idx="7">
                  <v>215499.76</v>
                </pt>
                <pt idx="8">
                  <v>157729.49</v>
                </pt>
                <pt idx="9">
                  <v>125199.1</v>
                </pt>
                <pt idx="10">
                  <v>223473.37</v>
                </pt>
              </numCache>
            </numRef>
          </val>
        </ser>
        <ser>
          <idx val="3"/>
          <order val="1"/>
          <tx>
            <strRef>
              <f>'18 Nov - 24 Nov'!$D$3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Nov - 24 Nov'!$A$5:$A$18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Nov - 24 Nov'!$D$5:$D$18</f>
              <numCache>
                <formatCode>#,##0.00</formatCode>
                <ptCount val="12"/>
                <pt idx="0">
                  <v>249420.07</v>
                </pt>
                <pt idx="1">
                  <v>277083.59</v>
                </pt>
                <pt idx="2">
                  <v>126423.17</v>
                </pt>
                <pt idx="3">
                  <v>334792.28</v>
                </pt>
                <pt idx="4">
                  <v>151772.77</v>
                </pt>
                <pt idx="5">
                  <v>372731.86</v>
                </pt>
                <pt idx="6">
                  <v>143504.96</v>
                </pt>
                <pt idx="7">
                  <v>218108.55</v>
                </pt>
                <pt idx="8">
                  <v>203493.11</v>
                </pt>
                <pt idx="9">
                  <v>130233.66</v>
                </pt>
                <pt idx="10">
                  <v>214348.71</v>
                </pt>
                <pt idx="11">
                  <v>167548.27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Nov - 1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Dec'!$C$5:$C$18</f>
              <numCache>
                <formatCode>#,##0.00</formatCode>
                <ptCount val="12"/>
                <pt idx="0">
                  <v>323437.12</v>
                </pt>
                <pt idx="1">
                  <v>338183.88</v>
                </pt>
                <pt idx="2">
                  <v>134962.83</v>
                </pt>
                <pt idx="3">
                  <v>420853.22</v>
                </pt>
                <pt idx="4">
                  <v>170438.21</v>
                </pt>
                <pt idx="5">
                  <v>357727.57</v>
                </pt>
                <pt idx="6">
                  <v>145174.03</v>
                </pt>
                <pt idx="7">
                  <v>291527.74</v>
                </pt>
                <pt idx="8">
                  <v>204683.15</v>
                </pt>
                <pt idx="9">
                  <v>160866.38</v>
                </pt>
                <pt idx="10">
                  <v>241469.15</v>
                </pt>
              </numCache>
            </numRef>
          </val>
        </ser>
        <ser>
          <idx val="3"/>
          <order val="1"/>
          <tx>
            <strRef>
              <f>'25 Nov - 1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Nov - 1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Nov - 1 Dec'!$D$5:$D$18</f>
              <numCache>
                <formatCode>#,##0.00</formatCode>
                <ptCount val="12"/>
                <pt idx="0">
                  <v>296557.98</v>
                </pt>
                <pt idx="1">
                  <v>384641.91</v>
                </pt>
                <pt idx="2">
                  <v>127269.54</v>
                </pt>
                <pt idx="3">
                  <v>344599.74</v>
                </pt>
                <pt idx="4">
                  <v>191019.57</v>
                </pt>
                <pt idx="5">
                  <v>383307.6</v>
                </pt>
                <pt idx="6">
                  <v>162809.36</v>
                </pt>
                <pt idx="7">
                  <v>242832.81</v>
                </pt>
                <pt idx="8">
                  <v>234804.6</v>
                </pt>
                <pt idx="9">
                  <v>133257.3</v>
                </pt>
                <pt idx="10">
                  <v>225430.06</v>
                </pt>
                <pt idx="11">
                  <v>234073.41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Dec - 8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Dec'!$C$5:$C$18</f>
              <numCache>
                <formatCode>#,##0.00</formatCode>
                <ptCount val="12"/>
                <pt idx="0">
                  <v>320822.54</v>
                </pt>
                <pt idx="1">
                  <v>391424.66</v>
                </pt>
                <pt idx="2">
                  <v>164133.56</v>
                </pt>
                <pt idx="3">
                  <v>447805.95</v>
                </pt>
                <pt idx="4">
                  <v>148868.28</v>
                </pt>
                <pt idx="5">
                  <v>371133.97</v>
                </pt>
                <pt idx="6">
                  <v>150125.48</v>
                </pt>
                <pt idx="7">
                  <v>274465.48</v>
                </pt>
                <pt idx="8">
                  <v>271640.67</v>
                </pt>
                <pt idx="9">
                  <v>164090.57</v>
                </pt>
                <pt idx="10">
                  <v>227826.22</v>
                </pt>
              </numCache>
            </numRef>
          </val>
        </ser>
        <ser>
          <idx val="3"/>
          <order val="1"/>
          <tx>
            <strRef>
              <f>'2 Dec - 8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Dec - 8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Dec - 8 Dec'!$D$5:$D$18</f>
              <numCache>
                <formatCode>#,##0.00</formatCode>
                <ptCount val="12"/>
                <pt idx="0">
                  <v>312733.53</v>
                </pt>
                <pt idx="1">
                  <v>341167.2</v>
                </pt>
                <pt idx="2">
                  <v>134327.28</v>
                </pt>
                <pt idx="3">
                  <v>403789.74</v>
                </pt>
                <pt idx="4">
                  <v>198366.18</v>
                </pt>
                <pt idx="5">
                  <v>390457.33</v>
                </pt>
                <pt idx="6">
                  <v>171682.03</v>
                </pt>
                <pt idx="7">
                  <v>235871.29</v>
                </pt>
                <pt idx="8">
                  <v>316293.24</v>
                </pt>
                <pt idx="9">
                  <v>190910.89</v>
                </pt>
                <pt idx="10">
                  <v>221661.96</v>
                </pt>
                <pt idx="11">
                  <v>208582.53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Dec - 15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Dec'!$C$5:$C$18</f>
              <numCache>
                <formatCode>#,##0.00</formatCode>
                <ptCount val="12"/>
                <pt idx="0">
                  <v>347035.47</v>
                </pt>
                <pt idx="1">
                  <v>440642.84</v>
                </pt>
                <pt idx="2">
                  <v>139078.93</v>
                </pt>
                <pt idx="3">
                  <v>463412.55</v>
                </pt>
                <pt idx="4">
                  <v>131512.71</v>
                </pt>
                <pt idx="5">
                  <v>336899.8</v>
                </pt>
                <pt idx="6">
                  <v>165364.96</v>
                </pt>
                <pt idx="7">
                  <v>249921.32</v>
                </pt>
                <pt idx="8">
                  <v>413155.48</v>
                </pt>
                <pt idx="9">
                  <v>197982.05</v>
                </pt>
                <pt idx="10">
                  <v>232833.57</v>
                </pt>
              </numCache>
            </numRef>
          </val>
        </ser>
        <ser>
          <idx val="3"/>
          <order val="1"/>
          <tx>
            <strRef>
              <f>'9 Dec - 15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Dec - 15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Dec - 15 Dec'!$D$5:$D$18</f>
              <numCache>
                <formatCode>#,##0.00</formatCode>
                <ptCount val="12"/>
                <pt idx="0">
                  <v>316187.89</v>
                </pt>
                <pt idx="1">
                  <v>537525.52</v>
                </pt>
                <pt idx="2">
                  <v>129151.53</v>
                </pt>
                <pt idx="3">
                  <v>461868.74</v>
                </pt>
                <pt idx="4">
                  <v>140709.13</v>
                </pt>
                <pt idx="5">
                  <v>423448.09</v>
                </pt>
                <pt idx="6">
                  <v>163386.12</v>
                </pt>
                <pt idx="7">
                  <v>219828.87</v>
                </pt>
                <pt idx="8">
                  <v>423907.22</v>
                </pt>
                <pt idx="9">
                  <v>171875.61</v>
                </pt>
                <pt idx="10">
                  <v>248340.4</v>
                </pt>
                <pt idx="11">
                  <v>189552.3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Dec - 22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Dec'!$C$5:$C$18</f>
              <numCache>
                <formatCode>#,##0.00</formatCode>
                <ptCount val="12"/>
                <pt idx="0">
                  <v>364522.63</v>
                </pt>
                <pt idx="1">
                  <v>425021.24</v>
                </pt>
                <pt idx="2">
                  <v>109671.37</v>
                </pt>
                <pt idx="3">
                  <v>351087.57</v>
                </pt>
                <pt idx="4">
                  <v>115237.01</v>
                </pt>
                <pt idx="5">
                  <v>312544.07</v>
                </pt>
                <pt idx="6">
                  <v>146411.36</v>
                </pt>
                <pt idx="7">
                  <v>212746.47</v>
                </pt>
                <pt idx="8">
                  <v>735480.34</v>
                </pt>
                <pt idx="9">
                  <v>129028.04</v>
                </pt>
                <pt idx="10">
                  <v>230910.65</v>
                </pt>
              </numCache>
            </numRef>
          </val>
        </ser>
        <ser>
          <idx val="3"/>
          <order val="1"/>
          <tx>
            <strRef>
              <f>'16 Dec - 22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Dec - 22 Dec'!$A$5:$A$18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Dec - 22 Dec'!$D$5:$D$18</f>
              <numCache>
                <formatCode>#,##0.00</formatCode>
                <ptCount val="12"/>
                <pt idx="0">
                  <v>332934.52</v>
                </pt>
                <pt idx="1">
                  <v>503613.1</v>
                </pt>
                <pt idx="2">
                  <v>105968.29</v>
                </pt>
                <pt idx="3">
                  <v>376764.91</v>
                </pt>
                <pt idx="4">
                  <v>115192.67</v>
                </pt>
                <pt idx="5">
                  <v>311404.3</v>
                </pt>
                <pt idx="6">
                  <v>149883.34</v>
                </pt>
                <pt idx="7">
                  <v>199187.93</v>
                </pt>
                <pt idx="8">
                  <v>721819.17</v>
                </pt>
                <pt idx="9">
                  <v>121137.18</v>
                </pt>
                <pt idx="10">
                  <v>210622.19</v>
                </pt>
                <pt idx="11">
                  <v>157671.4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Dec - 29 Dec'!$C$3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Dec'!$C$5:$C$19</f>
              <numCache>
                <formatCode>#,##0.00</formatCode>
                <ptCount val="13"/>
                <pt idx="0">
                  <v>315787.46</v>
                </pt>
                <pt idx="1">
                  <v>195208.54</v>
                </pt>
                <pt idx="2">
                  <v>67639.25999999999</v>
                </pt>
                <pt idx="3">
                  <v>251347.92</v>
                </pt>
                <pt idx="4">
                  <v>87101.46000000001</v>
                </pt>
                <pt idx="5">
                  <v>231448.73</v>
                </pt>
                <pt idx="6">
                  <v>108709.47</v>
                </pt>
                <pt idx="7">
                  <v>149304.72</v>
                </pt>
                <pt idx="8">
                  <v>849629.22</v>
                </pt>
                <pt idx="9">
                  <v>88647.83</v>
                </pt>
                <pt idx="10">
                  <v>113962.71</v>
                </pt>
              </numCache>
            </numRef>
          </val>
        </ser>
        <ser>
          <idx val="3"/>
          <order val="1"/>
          <tx>
            <strRef>
              <f>'23 Dec - 29 Dec'!$D$3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Dec - 29 Dec'!$A$5:$A$19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Dec - 29 Dec'!$D$5:$D$19</f>
              <numCache>
                <formatCode>#,##0.00</formatCode>
                <ptCount val="13"/>
                <pt idx="0">
                  <v>251356.61</v>
                </pt>
                <pt idx="1">
                  <v>285024.23</v>
                </pt>
                <pt idx="2">
                  <v>47067.04</v>
                </pt>
                <pt idx="3">
                  <v>252630.01</v>
                </pt>
                <pt idx="4">
                  <v>89635.60000000001</v>
                </pt>
                <pt idx="5">
                  <v>234511.26</v>
                </pt>
                <pt idx="6">
                  <v>128991.96</v>
                </pt>
                <pt idx="7">
                  <v>128106.28</v>
                </pt>
                <pt idx="8">
                  <v>845642.47</v>
                </pt>
                <pt idx="9">
                  <v>72195.61</v>
                </pt>
                <pt idx="10">
                  <v>123472.58</v>
                </pt>
                <pt idx="11">
                  <v>133520.31</v>
                </pt>
                <pt idx="12">
                  <v>86742.74000000001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Dec - 5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Jan'!$C$5:$C$19</f>
              <numCache>
                <formatCode>#,##0.00</formatCode>
                <ptCount val="13"/>
                <pt idx="0">
                  <v>325096.33</v>
                </pt>
                <pt idx="1">
                  <v>157885.87</v>
                </pt>
                <pt idx="2">
                  <v>90111.39999999999</v>
                </pt>
                <pt idx="3">
                  <v>329855.35</v>
                </pt>
                <pt idx="4">
                  <v>114633.65</v>
                </pt>
                <pt idx="5">
                  <v>228405.1</v>
                </pt>
                <pt idx="6">
                  <v>133751.79</v>
                </pt>
                <pt idx="7">
                  <v>185171.07</v>
                </pt>
                <pt idx="8">
                  <v>730769.9300000001</v>
                </pt>
                <pt idx="9">
                  <v>96083.84</v>
                </pt>
                <pt idx="10">
                  <v>133382.21</v>
                </pt>
              </numCache>
            </numRef>
          </val>
        </ser>
        <ser>
          <idx val="3"/>
          <order val="1"/>
          <tx>
            <strRef>
              <f>'30 Dec - 5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Dec - 5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Dec - 5 Jan'!$D$5:$D$19</f>
              <numCache>
                <formatCode>#,##0.00</formatCode>
                <ptCount val="13"/>
                <pt idx="0">
                  <v>276666.88</v>
                </pt>
                <pt idx="1">
                  <v>266740.18</v>
                </pt>
                <pt idx="2">
                  <v>67999.53</v>
                </pt>
                <pt idx="3">
                  <v>305260.75</v>
                </pt>
                <pt idx="4">
                  <v>112210.71</v>
                </pt>
                <pt idx="5">
                  <v>259688.15</v>
                </pt>
                <pt idx="6">
                  <v>172759.05</v>
                </pt>
                <pt idx="7">
                  <v>155712.35</v>
                </pt>
                <pt idx="8">
                  <v>877892.3100000001</v>
                </pt>
                <pt idx="9">
                  <v>104178.02</v>
                </pt>
                <pt idx="10">
                  <v>153893.73</v>
                </pt>
                <pt idx="11">
                  <v>194529.92</v>
                </pt>
                <pt idx="12">
                  <v>101456.16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Jan - 12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Jan'!$C$5:$C$19</f>
              <numCache>
                <formatCode>#,##0.00</formatCode>
                <ptCount val="13"/>
                <pt idx="0">
                  <v>282462.92</v>
                </pt>
                <pt idx="1">
                  <v>167793.48</v>
                </pt>
                <pt idx="2">
                  <v>82899.22</v>
                </pt>
                <pt idx="3">
                  <v>317910.26</v>
                </pt>
                <pt idx="4">
                  <v>135753.02</v>
                </pt>
                <pt idx="5">
                  <v>320006.2</v>
                </pt>
                <pt idx="6">
                  <v>138417.91</v>
                </pt>
                <pt idx="7">
                  <v>219380.24</v>
                </pt>
                <pt idx="8">
                  <v>260614.2</v>
                </pt>
                <pt idx="9">
                  <v>123295.01</v>
                </pt>
                <pt idx="10">
                  <v>189563.77</v>
                </pt>
              </numCache>
            </numRef>
          </val>
        </ser>
        <ser>
          <idx val="3"/>
          <order val="1"/>
          <tx>
            <strRef>
              <f>'6 Jan - 12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Jan - 12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Jan - 12 Jan'!$D$5:$D$19</f>
              <numCache>
                <formatCode>#,##0.00</formatCode>
                <ptCount val="13"/>
                <pt idx="0">
                  <v>296675.38</v>
                </pt>
                <pt idx="1">
                  <v>198130.76</v>
                </pt>
                <pt idx="2">
                  <v>81968.13</v>
                </pt>
                <pt idx="3">
                  <v>287972.86</v>
                </pt>
                <pt idx="4">
                  <v>132580.56</v>
                </pt>
                <pt idx="5">
                  <v>330215.89</v>
                </pt>
                <pt idx="6">
                  <v>132864.84</v>
                </pt>
                <pt idx="7">
                  <v>219689.71</v>
                </pt>
                <pt idx="8">
                  <v>440887.85</v>
                </pt>
                <pt idx="9">
                  <v>115805.88</v>
                </pt>
                <pt idx="10">
                  <v>192938.39</v>
                </pt>
                <pt idx="11">
                  <v>176711.97</v>
                </pt>
                <pt idx="12">
                  <v>107899.57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Jan - 19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Jan'!$C$5:$C$19</f>
              <numCache>
                <formatCode>#,##0.00</formatCode>
                <ptCount val="13"/>
                <pt idx="0">
                  <v>250408.15</v>
                </pt>
                <pt idx="1">
                  <v>200795.26</v>
                </pt>
                <pt idx="2">
                  <v>77975.73</v>
                </pt>
                <pt idx="3">
                  <v>287612.29</v>
                </pt>
                <pt idx="4">
                  <v>132398.45</v>
                </pt>
                <pt idx="5">
                  <v>313579.03</v>
                </pt>
                <pt idx="6">
                  <v>139966.8</v>
                </pt>
                <pt idx="7">
                  <v>198827.43</v>
                </pt>
                <pt idx="8">
                  <v>189348.96</v>
                </pt>
                <pt idx="9">
                  <v>121824.18</v>
                </pt>
                <pt idx="10">
                  <v>198434.85</v>
                </pt>
              </numCache>
            </numRef>
          </val>
        </ser>
        <ser>
          <idx val="3"/>
          <order val="1"/>
          <tx>
            <strRef>
              <f>'13 Jan - 19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Jan - 19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Jan - 19 Jan'!$D$5:$D$19</f>
              <numCache>
                <formatCode>#,##0.00</formatCode>
                <ptCount val="13"/>
                <pt idx="0">
                  <v>249678.67</v>
                </pt>
                <pt idx="1">
                  <v>184174.36</v>
                </pt>
                <pt idx="2">
                  <v>92094.41</v>
                </pt>
                <pt idx="3">
                  <v>282534.18</v>
                </pt>
                <pt idx="4">
                  <v>160577.06</v>
                </pt>
                <pt idx="5">
                  <v>287900.99</v>
                </pt>
                <pt idx="6">
                  <v>167794.96</v>
                </pt>
                <pt idx="7">
                  <v>173601.74</v>
                </pt>
                <pt idx="8">
                  <v>187166.99</v>
                </pt>
                <pt idx="9">
                  <v>114412.28</v>
                </pt>
                <pt idx="10">
                  <v>173816.25</v>
                </pt>
                <pt idx="11">
                  <v>172665.54</v>
                </pt>
                <pt idx="12">
                  <v>118955.12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Jan - 26 Jan'!$C$3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Jan'!$C$5:$C$19</f>
              <numCache>
                <formatCode>#,##0.00</formatCode>
                <ptCount val="13"/>
                <pt idx="0">
                  <v>254835.6</v>
                </pt>
                <pt idx="1">
                  <v>191397.82</v>
                </pt>
                <pt idx="2">
                  <v>86713.33</v>
                </pt>
                <pt idx="3">
                  <v>328134.63</v>
                </pt>
                <pt idx="4">
                  <v>144600.03</v>
                </pt>
                <pt idx="5">
                  <v>317233.92</v>
                </pt>
                <pt idx="6">
                  <v>152846.04</v>
                </pt>
                <pt idx="7">
                  <v>243010.12</v>
                </pt>
                <pt idx="8">
                  <v>166877.21</v>
                </pt>
                <pt idx="9">
                  <v>125945.97</v>
                </pt>
                <pt idx="10">
                  <v>206751.49</v>
                </pt>
              </numCache>
            </numRef>
          </val>
        </ser>
        <ser>
          <idx val="3"/>
          <order val="1"/>
          <tx>
            <strRef>
              <f>'20 Jan - 26 Jan'!$D$3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Jan - 26 Jan'!$A$5:$A$19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Jan - 26 Jan'!$D$5:$D$19</f>
              <numCache>
                <formatCode>#,##0.00</formatCode>
                <ptCount val="13"/>
                <pt idx="0">
                  <v>244971.94</v>
                </pt>
                <pt idx="1">
                  <v>212211.86</v>
                </pt>
                <pt idx="2">
                  <v>104090</v>
                </pt>
                <pt idx="3">
                  <v>326457.8</v>
                </pt>
                <pt idx="4">
                  <v>168531.62</v>
                </pt>
                <pt idx="5">
                  <v>291680.29</v>
                </pt>
                <pt idx="6">
                  <v>156281.82</v>
                </pt>
                <pt idx="7">
                  <v>195672.15</v>
                </pt>
                <pt idx="8">
                  <v>177959.61</v>
                </pt>
                <pt idx="9">
                  <v>127667.08</v>
                </pt>
                <pt idx="10">
                  <v>217452</v>
                </pt>
                <pt idx="11">
                  <v>198718.15</v>
                </pt>
                <pt idx="12">
                  <v>126018.06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Jan - 2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Feb'!$C$5:$C$19</f>
              <numCache>
                <formatCode>#,##0.00</formatCode>
                <ptCount val="13"/>
                <pt idx="0">
                  <v>234881.47</v>
                </pt>
                <pt idx="1">
                  <v>200131.3</v>
                </pt>
                <pt idx="2">
                  <v>100729.45</v>
                </pt>
                <pt idx="3">
                  <v>329808.99</v>
                </pt>
                <pt idx="4">
                  <v>149771.03</v>
                </pt>
                <pt idx="5">
                  <v>335261.97</v>
                </pt>
                <pt idx="6">
                  <v>154730.66</v>
                </pt>
                <pt idx="7">
                  <v>227584.22</v>
                </pt>
                <pt idx="8">
                  <v>165985.17</v>
                </pt>
                <pt idx="9">
                  <v>126081.73</v>
                </pt>
                <pt idx="10">
                  <v>206209.12</v>
                </pt>
                <pt idx="11">
                  <v>51408.8</v>
                </pt>
              </numCache>
            </numRef>
          </val>
        </ser>
        <ser>
          <idx val="3"/>
          <order val="1"/>
          <tx>
            <strRef>
              <f>'27 Jan - 2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Jan - 2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Jan - 2 Feb'!$D$5:$D$19</f>
              <numCache>
                <formatCode>#,##0.00</formatCode>
                <ptCount val="13"/>
                <pt idx="0">
                  <v>253886.48</v>
                </pt>
                <pt idx="1">
                  <v>219670.06</v>
                </pt>
                <pt idx="2">
                  <v>108989.56</v>
                </pt>
                <pt idx="3">
                  <v>304035.96</v>
                </pt>
                <pt idx="4">
                  <v>157218.01</v>
                </pt>
                <pt idx="5">
                  <v>317481.25</v>
                </pt>
                <pt idx="6">
                  <v>171217.16</v>
                </pt>
                <pt idx="7">
                  <v>252185.47</v>
                </pt>
                <pt idx="8">
                  <v>177284.39</v>
                </pt>
                <pt idx="9">
                  <v>129067.81</v>
                </pt>
                <pt idx="10">
                  <v>226675.96</v>
                </pt>
                <pt idx="11">
                  <v>189390.06</v>
                </pt>
                <pt idx="12">
                  <v>126973.02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Feb - 9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Feb'!$C$5:$C$19</f>
              <numCache>
                <formatCode>#,##0.00</formatCode>
                <ptCount val="13"/>
                <pt idx="0">
                  <v>243896.08</v>
                </pt>
                <pt idx="1">
                  <v>203529.46</v>
                </pt>
                <pt idx="2">
                  <v>83038.85000000001</v>
                </pt>
                <pt idx="3">
                  <v>313205.83</v>
                </pt>
                <pt idx="4">
                  <v>149072.21</v>
                </pt>
                <pt idx="5">
                  <v>329753.61</v>
                </pt>
                <pt idx="6">
                  <v>144397.12</v>
                </pt>
                <pt idx="7">
                  <v>219176.66</v>
                </pt>
                <pt idx="8">
                  <v>175807.47</v>
                </pt>
                <pt idx="9">
                  <v>146823.91</v>
                </pt>
                <pt idx="10">
                  <v>203176.33</v>
                </pt>
                <pt idx="11">
                  <v>188936.11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Feb - 9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Feb - 9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Feb - 9 Feb'!$D$5:$D$19</f>
              <numCache>
                <formatCode>#,##0.00</formatCode>
                <ptCount val="13"/>
                <pt idx="0">
                  <v>237293.22</v>
                </pt>
                <pt idx="1">
                  <v>220030.82</v>
                </pt>
                <pt idx="2">
                  <v>109046.25</v>
                </pt>
                <pt idx="3">
                  <v>0</v>
                </pt>
                <pt idx="4">
                  <v>162465.92</v>
                </pt>
                <pt idx="5">
                  <v>296440.63</v>
                </pt>
                <pt idx="6">
                  <v>153633.8</v>
                </pt>
                <pt idx="7">
                  <v>206977.96</v>
                </pt>
                <pt idx="8">
                  <v>184245.92</v>
                </pt>
                <pt idx="9">
                  <v>136872.09</v>
                </pt>
                <pt idx="10">
                  <v>183593.77</v>
                </pt>
                <pt idx="11">
                  <v>176775.06</v>
                </pt>
                <pt idx="12">
                  <v>119677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Feb - 16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Feb'!$C$5:$C$19</f>
              <numCache>
                <formatCode>#,##0.00</formatCode>
                <ptCount val="13"/>
                <pt idx="0">
                  <v>266174.9</v>
                </pt>
                <pt idx="1">
                  <v>242108.65</v>
                </pt>
                <pt idx="2">
                  <v>118438.43</v>
                </pt>
                <pt idx="3">
                  <v>342968.68</v>
                </pt>
                <pt idx="4">
                  <v>165657.87</v>
                </pt>
                <pt idx="5">
                  <v>344555.3</v>
                </pt>
                <pt idx="6">
                  <v>150132.08</v>
                </pt>
                <pt idx="7">
                  <v>239264.36</v>
                </pt>
                <pt idx="8">
                  <v>201421.91</v>
                </pt>
                <pt idx="9">
                  <v>194132.08</v>
                </pt>
                <pt idx="10">
                  <v>207863</v>
                </pt>
                <pt idx="11">
                  <v>179661.94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Feb - 16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Feb - 16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Feb - 16 Feb'!$D$5:$D$19</f>
              <numCache>
                <formatCode>#,##0.00</formatCode>
                <ptCount val="13"/>
                <pt idx="0">
                  <v>280895.78</v>
                </pt>
                <pt idx="1">
                  <v>224075.5</v>
                </pt>
                <pt idx="2">
                  <v>133786.9</v>
                </pt>
                <pt idx="3">
                  <v>0</v>
                </pt>
                <pt idx="4">
                  <v>182605.54</v>
                </pt>
                <pt idx="5">
                  <v>308009.72</v>
                </pt>
                <pt idx="6">
                  <v>160405.7</v>
                </pt>
                <pt idx="7">
                  <v>212599.32</v>
                </pt>
                <pt idx="8">
                  <v>209317.26</v>
                </pt>
                <pt idx="9">
                  <v>180239.49</v>
                </pt>
                <pt idx="10">
                  <v>209714.26</v>
                </pt>
                <pt idx="11">
                  <v>175278.96</v>
                </pt>
                <pt idx="12">
                  <v>136835.4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Feb - 23 Feb'!$C$3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Feb'!$C$5:$C$19</f>
              <numCache>
                <formatCode>#,##0.00</formatCode>
                <ptCount val="13"/>
                <pt idx="0">
                  <v>255478.47</v>
                </pt>
                <pt idx="1">
                  <v>179311.69</v>
                </pt>
                <pt idx="2">
                  <v>106132.06</v>
                </pt>
                <pt idx="3">
                  <v>325053.89</v>
                </pt>
                <pt idx="4">
                  <v>146907.45</v>
                </pt>
                <pt idx="5">
                  <v>346076.98</v>
                </pt>
                <pt idx="6">
                  <v>148820.94</v>
                </pt>
                <pt idx="7">
                  <v>227627.23</v>
                </pt>
                <pt idx="8">
                  <v>159531.37</v>
                </pt>
                <pt idx="9">
                  <v>135434.34</v>
                </pt>
                <pt idx="10">
                  <v>215582.54</v>
                </pt>
                <pt idx="11">
                  <v>169417.62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Feb - 23 Feb'!$D$3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Feb - 23 Feb'!$A$5:$A$19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Feb - 23 Feb'!$D$5:$D$19</f>
              <numCache>
                <formatCode>#,##0.00</formatCode>
                <ptCount val="13"/>
                <pt idx="0">
                  <v>222785.95</v>
                </pt>
                <pt idx="1">
                  <v>232321.08</v>
                </pt>
                <pt idx="2">
                  <v>89875.17</v>
                </pt>
                <pt idx="3">
                  <v>0</v>
                </pt>
                <pt idx="4">
                  <v>172889.65</v>
                </pt>
                <pt idx="5">
                  <v>295782.3</v>
                </pt>
                <pt idx="6">
                  <v>155166.48</v>
                </pt>
                <pt idx="7">
                  <v>207016.53</v>
                </pt>
                <pt idx="8">
                  <v>186665.69</v>
                </pt>
                <pt idx="9">
                  <v>120536.7</v>
                </pt>
                <pt idx="10">
                  <v>194445.82</v>
                </pt>
                <pt idx="11">
                  <v>165432.56</v>
                </pt>
                <pt idx="12">
                  <v>112652.14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Feb - 1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March'!$C$5:$C$19</f>
              <numCache>
                <formatCode>#,##0.00</formatCode>
                <ptCount val="13"/>
                <pt idx="0">
                  <v>251748.71</v>
                </pt>
                <pt idx="1">
                  <v>224533.36</v>
                </pt>
                <pt idx="2">
                  <v>118837.36</v>
                </pt>
                <pt idx="3">
                  <v>354530.54</v>
                </pt>
                <pt idx="4">
                  <v>162768.13</v>
                </pt>
                <pt idx="5">
                  <v>337802.42</v>
                </pt>
                <pt idx="6">
                  <v>176295.37</v>
                </pt>
                <pt idx="7">
                  <v>222836.31</v>
                </pt>
                <pt idx="8">
                  <v>167255.37</v>
                </pt>
                <pt idx="9">
                  <v>151388.8</v>
                </pt>
                <pt idx="10">
                  <v>250174.74</v>
                </pt>
                <pt idx="11">
                  <v>190318.77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Feb - 1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Feb - 1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Feb - 1 March'!$D$5:$D$19</f>
              <numCache>
                <formatCode>#,##0.00</formatCode>
                <ptCount val="13"/>
                <pt idx="0">
                  <v>230798.84</v>
                </pt>
                <pt idx="1">
                  <v>228520.15</v>
                </pt>
                <pt idx="2">
                  <v>118987.48</v>
                </pt>
                <pt idx="3">
                  <v>0</v>
                </pt>
                <pt idx="4">
                  <v>180376.85</v>
                </pt>
                <pt idx="5">
                  <v>300655.83</v>
                </pt>
                <pt idx="6">
                  <v>152782.65</v>
                </pt>
                <pt idx="7">
                  <v>243304.13</v>
                </pt>
                <pt idx="8">
                  <v>176302.74</v>
                </pt>
                <pt idx="9">
                  <v>133954.56</v>
                </pt>
                <pt idx="10">
                  <v>200596.96</v>
                </pt>
                <pt idx="11">
                  <v>186259.82</v>
                </pt>
                <pt idx="12">
                  <v>129094.15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March - 8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March'!$C$5:$C$19</f>
              <numCache>
                <formatCode>#,##0.00</formatCode>
                <ptCount val="13"/>
                <pt idx="0">
                  <v>237319.79</v>
                </pt>
                <pt idx="1">
                  <v>233007.56</v>
                </pt>
                <pt idx="2">
                  <v>127072.32</v>
                </pt>
                <pt idx="3">
                  <v>354792.07</v>
                </pt>
                <pt idx="4">
                  <v>162214.98</v>
                </pt>
                <pt idx="5">
                  <v>339050.03</v>
                </pt>
                <pt idx="6">
                  <v>164881.56</v>
                </pt>
                <pt idx="7">
                  <v>220450.34</v>
                </pt>
                <pt idx="8">
                  <v>156695.27</v>
                </pt>
                <pt idx="9">
                  <v>139497.94</v>
                </pt>
                <pt idx="10">
                  <v>227810.49</v>
                </pt>
                <pt idx="11">
                  <v>195684.66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March - 8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March - 8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March - 8 March'!$D$5:$D$19</f>
              <numCache>
                <formatCode>#,##0.00</formatCode>
                <ptCount val="13"/>
                <pt idx="0">
                  <v>224764.48</v>
                </pt>
                <pt idx="1">
                  <v>216682.01</v>
                </pt>
                <pt idx="2">
                  <v>106995.52</v>
                </pt>
                <pt idx="3">
                  <v>242061.31</v>
                </pt>
                <pt idx="4">
                  <v>159016.18</v>
                </pt>
                <pt idx="5">
                  <v>270331.87</v>
                </pt>
                <pt idx="6">
                  <v>157839.24</v>
                </pt>
                <pt idx="7">
                  <v>217934.76</v>
                </pt>
                <pt idx="8">
                  <v>183776.76</v>
                </pt>
                <pt idx="9">
                  <v>127255.26</v>
                </pt>
                <pt idx="10">
                  <v>208721.29</v>
                </pt>
                <pt idx="11">
                  <v>169228.51</v>
                </pt>
                <pt idx="12">
                  <v>116693.24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March - 15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March'!$C$5:$C$19</f>
              <numCache>
                <formatCode>#,##0.00</formatCode>
                <ptCount val="13"/>
                <pt idx="0">
                  <v>268849.73</v>
                </pt>
                <pt idx="1">
                  <v>247782.44</v>
                </pt>
                <pt idx="2">
                  <v>112508.16</v>
                </pt>
                <pt idx="3">
                  <v>355321</v>
                </pt>
                <pt idx="4">
                  <v>153600.97</v>
                </pt>
                <pt idx="5">
                  <v>339268.89</v>
                </pt>
                <pt idx="6">
                  <v>151174.76</v>
                </pt>
                <pt idx="7">
                  <v>230113.69</v>
                </pt>
                <pt idx="8">
                  <v>223622.64</v>
                </pt>
                <pt idx="9">
                  <v>152677.41</v>
                </pt>
                <pt idx="10">
                  <v>218932.85</v>
                </pt>
                <pt idx="11">
                  <v>189463.05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March - 15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March - 15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March - 15 March'!$D$5:$D$19</f>
              <numCache>
                <formatCode>#,##0.00</formatCode>
                <ptCount val="13"/>
                <pt idx="0">
                  <v>228544.88</v>
                </pt>
                <pt idx="1">
                  <v>171162.7</v>
                </pt>
                <pt idx="2">
                  <v>111287.99</v>
                </pt>
                <pt idx="3">
                  <v>273777</v>
                </pt>
                <pt idx="4">
                  <v>157896.94</v>
                </pt>
                <pt idx="5">
                  <v>316971.75</v>
                </pt>
                <pt idx="6">
                  <v>142886.7</v>
                </pt>
                <pt idx="7">
                  <v>227804.08</v>
                </pt>
                <pt idx="8">
                  <v>199136.28</v>
                </pt>
                <pt idx="9">
                  <v>138626.42</v>
                </pt>
                <pt idx="10">
                  <v>218588.98</v>
                </pt>
                <pt idx="11">
                  <v>185708.58</v>
                </pt>
                <pt idx="12">
                  <v>112331.54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March - 22 March'!$C$3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March'!$C$5:$C$19</f>
              <numCache>
                <formatCode>#,##0.00</formatCode>
                <ptCount val="13"/>
                <pt idx="0">
                  <v>339552.82</v>
                </pt>
                <pt idx="1">
                  <v>237354.06</v>
                </pt>
                <pt idx="2">
                  <v>127846.77</v>
                </pt>
                <pt idx="3">
                  <v>394259.89</v>
                </pt>
                <pt idx="4">
                  <v>134544.66</v>
                </pt>
                <pt idx="5">
                  <v>369279.11</v>
                </pt>
                <pt idx="6">
                  <v>166773.71</v>
                </pt>
                <pt idx="7">
                  <v>231068.59</v>
                </pt>
                <pt idx="8">
                  <v>407133.91</v>
                </pt>
                <pt idx="9">
                  <v>164652.97</v>
                </pt>
                <pt idx="10">
                  <v>250243.46</v>
                </pt>
                <pt idx="11">
                  <v>198899.77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March - 22 March'!$D$3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March - 22 March'!$A$5:$A$19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March - 22 March'!$D$5:$D$19</f>
              <numCache>
                <formatCode>#,##0.00</formatCode>
                <ptCount val="13"/>
                <pt idx="0">
                  <v>111844.41</v>
                </pt>
                <pt idx="1">
                  <v>25855.03</v>
                </pt>
                <pt idx="2">
                  <v>63417.32</v>
                </pt>
                <pt idx="3">
                  <v>100528.78</v>
                </pt>
                <pt idx="4">
                  <v>92887.66</v>
                </pt>
                <pt idx="5">
                  <v>136221.63</v>
                </pt>
                <pt idx="6">
                  <v>70519.10000000001</v>
                </pt>
                <pt idx="7">
                  <v>128530.38</v>
                </pt>
                <pt idx="8">
                  <v>137714.02</v>
                </pt>
                <pt idx="9">
                  <v>63130.56</v>
                </pt>
                <pt idx="10">
                  <v>99672.75</v>
                </pt>
                <pt idx="11">
                  <v>112201.62</v>
                </pt>
                <pt idx="12">
                  <v>54419.61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May - 3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2020'!$C$5:$C$19</f>
              <numCache>
                <formatCode>#,##0.00</formatCode>
                <ptCount val="13"/>
                <pt idx="0">
                  <v>156678.2</v>
                </pt>
                <pt idx="1">
                  <v>0</v>
                </pt>
                <pt idx="2">
                  <v>35394.35</v>
                </pt>
                <pt idx="3">
                  <v>0</v>
                </pt>
                <pt idx="4">
                  <v>36702.57</v>
                </pt>
                <pt idx="5">
                  <v>0</v>
                </pt>
                <pt idx="6">
                  <v>0</v>
                </pt>
                <pt idx="7">
                  <v>107741.9</v>
                </pt>
                <pt idx="8">
                  <v>74337.42999999999</v>
                </pt>
                <pt idx="9">
                  <v>0</v>
                </pt>
                <pt idx="10">
                  <v>0</v>
                </pt>
                <pt idx="11">
                  <v>90888.42999999999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May - 3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May - 3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May - 3 May 2020'!$D$5:$D$19</f>
              <numCache>
                <formatCode>#,##0.00</formatCode>
                <ptCount val="13"/>
                <pt idx="0">
                  <v>84130.96000000001</v>
                </pt>
                <pt idx="1">
                  <v>0</v>
                </pt>
                <pt idx="2">
                  <v>18197.53</v>
                </pt>
                <pt idx="3">
                  <v>0</v>
                </pt>
                <pt idx="4">
                  <v>43503.64</v>
                </pt>
                <pt idx="5">
                  <v>0</v>
                </pt>
                <pt idx="6">
                  <v>0</v>
                </pt>
                <pt idx="7">
                  <v>67555.83</v>
                </pt>
                <pt idx="8">
                  <v>16693.68</v>
                </pt>
                <pt idx="9">
                  <v>0</v>
                </pt>
                <pt idx="10">
                  <v>0</v>
                </pt>
                <pt idx="11">
                  <v>65693.75999999999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May - 10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2020'!$C$5:$C$19</f>
              <numCache>
                <formatCode>#,##0.00</formatCode>
                <ptCount val="13"/>
                <pt idx="0">
                  <v>277850.47</v>
                </pt>
                <pt idx="1">
                  <v>0</v>
                </pt>
                <pt idx="2">
                  <v>149467.36</v>
                </pt>
                <pt idx="3">
                  <v>0</v>
                </pt>
                <pt idx="4">
                  <v>146819.43</v>
                </pt>
                <pt idx="5">
                  <v>382519.5</v>
                </pt>
                <pt idx="6">
                  <v>144817.99</v>
                </pt>
                <pt idx="7">
                  <v>233865.68</v>
                </pt>
                <pt idx="8">
                  <v>163941.61</v>
                </pt>
                <pt idx="9">
                  <v>0</v>
                </pt>
                <pt idx="10">
                  <v>0</v>
                </pt>
                <pt idx="11">
                  <v>197506.48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May - 10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May - 10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May - 10 May 2020'!$D$5:$D$19</f>
              <numCache>
                <formatCode>#,##0.00</formatCode>
                <ptCount val="13"/>
                <pt idx="0">
                  <v>78719.35000000001</v>
                </pt>
                <pt idx="1">
                  <v>0</v>
                </pt>
                <pt idx="2">
                  <v>38542.59</v>
                </pt>
                <pt idx="3">
                  <v>0</v>
                </pt>
                <pt idx="4">
                  <v>89492.23</v>
                </pt>
                <pt idx="5">
                  <v>57987.75</v>
                </pt>
                <pt idx="6">
                  <v>19321.62</v>
                </pt>
                <pt idx="7">
                  <v>107050.12</v>
                </pt>
                <pt idx="8">
                  <v>21734.69</v>
                </pt>
                <pt idx="9">
                  <v>0</v>
                </pt>
                <pt idx="10">
                  <v>0</v>
                </pt>
                <pt idx="11">
                  <v>77459.94</v>
                </pt>
                <pt idx="12">
                  <v>24503.28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May - 17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2020'!$C$5:$C$19</f>
              <numCache>
                <formatCode>#,##0.00</formatCode>
                <ptCount val="13"/>
                <pt idx="0">
                  <v>217085.03</v>
                </pt>
                <pt idx="1">
                  <v>0</v>
                </pt>
                <pt idx="2">
                  <v>98960.8</v>
                </pt>
                <pt idx="3">
                  <v>0</v>
                </pt>
                <pt idx="4">
                  <v>130423.4</v>
                </pt>
                <pt idx="5">
                  <v>321781.94</v>
                </pt>
                <pt idx="6">
                  <v>126268.32</v>
                </pt>
                <pt idx="7">
                  <v>195027.05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151423.45</v>
                </pt>
              </numCache>
            </numRef>
          </val>
        </ser>
        <ser>
          <idx val="3"/>
          <order val="1"/>
          <tx>
            <strRef>
              <f>'11 May - 17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May - 17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May - 17 May 2020'!$D$5:$D$19</f>
              <numCache>
                <formatCode>#,##0.00</formatCode>
                <ptCount val="13"/>
                <pt idx="0">
                  <v>47094.04</v>
                </pt>
                <pt idx="1">
                  <v>0</v>
                </pt>
                <pt idx="2">
                  <v>32529.48</v>
                </pt>
                <pt idx="3">
                  <v>0</v>
                </pt>
                <pt idx="4">
                  <v>65139.06</v>
                </pt>
                <pt idx="5">
                  <v>73753.5</v>
                </pt>
                <pt idx="6">
                  <v>26049.29</v>
                </pt>
                <pt idx="7">
                  <v>63028.93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58245.63</v>
                </pt>
                <pt idx="12">
                  <v>33527.38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May - 24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2020'!$C$5:$C$19</f>
              <numCache>
                <formatCode>#,##0.00</formatCode>
                <ptCount val="13"/>
                <pt idx="0">
                  <v>221316.49</v>
                </pt>
                <pt idx="2">
                  <v>105221.78</v>
                </pt>
                <pt idx="3">
                  <v>287415.07</v>
                </pt>
                <pt idx="4">
                  <v>144417.04</v>
                </pt>
                <pt idx="5">
                  <v>330106.03</v>
                </pt>
                <pt idx="6">
                  <v>129133.4</v>
                </pt>
                <pt idx="7">
                  <v>222565.67</v>
                </pt>
                <pt idx="11">
                  <v>173318.51</v>
                </pt>
              </numCache>
            </numRef>
          </val>
        </ser>
        <ser>
          <idx val="3"/>
          <order val="1"/>
          <tx>
            <strRef>
              <f>'18 May - 24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May - 24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May - 24 May 2020'!$D$5:$D$19</f>
              <numCache>
                <formatCode>#,##0.00</formatCode>
                <ptCount val="13"/>
                <pt idx="0">
                  <v>52335.75</v>
                </pt>
                <pt idx="1">
                  <v>0</v>
                </pt>
                <pt idx="2">
                  <v>27845.47</v>
                </pt>
                <pt idx="3">
                  <v>23884.54</v>
                </pt>
                <pt idx="4">
                  <v>59348.93</v>
                </pt>
                <pt idx="5">
                  <v>84377.53</v>
                </pt>
                <pt idx="6">
                  <v>28728.92</v>
                </pt>
                <pt idx="7">
                  <v>75291.31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56302.6</v>
                </pt>
                <pt idx="12">
                  <v>33777.31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May - 31 May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2020'!$C$5:$C$19</f>
              <numCache>
                <formatCode>#,##0.00</formatCode>
                <ptCount val="13"/>
                <pt idx="0">
                  <v>228906.34</v>
                </pt>
                <pt idx="2">
                  <v>129833.28</v>
                </pt>
                <pt idx="3">
                  <v>300962.43</v>
                </pt>
                <pt idx="4">
                  <v>163214.69</v>
                </pt>
                <pt idx="5">
                  <v>346283.66</v>
                </pt>
                <pt idx="6">
                  <v>146968.33</v>
                </pt>
                <pt idx="7">
                  <v>236376.68</v>
                </pt>
                <pt idx="10">
                  <v>191675.07</v>
                </pt>
                <pt idx="11">
                  <v>173995.83</v>
                </pt>
              </numCache>
            </numRef>
          </val>
        </ser>
        <ser>
          <idx val="3"/>
          <order val="1"/>
          <tx>
            <strRef>
              <f>'25 May - 31 May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May - 31 May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May - 31 May 2020'!$D$5:$D$19</f>
              <numCache>
                <formatCode>#,##0.00</formatCode>
                <ptCount val="13"/>
                <pt idx="0">
                  <v>47618.63</v>
                </pt>
                <pt idx="1">
                  <v>0</v>
                </pt>
                <pt idx="2">
                  <v>29007.92</v>
                </pt>
                <pt idx="3">
                  <v>37946.37</v>
                </pt>
                <pt idx="4">
                  <v>62349.08</v>
                </pt>
                <pt idx="5">
                  <v>70295.8</v>
                </pt>
                <pt idx="6">
                  <v>26701.09</v>
                </pt>
                <pt idx="7">
                  <v>70380.06</v>
                </pt>
                <pt idx="8">
                  <v>0</v>
                </pt>
                <pt idx="9">
                  <v>0</v>
                </pt>
                <pt idx="10">
                  <v>46544.63</v>
                </pt>
                <pt idx="11">
                  <v>65277.12</v>
                </pt>
                <pt idx="12">
                  <v>33073.74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June - 7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2020'!$C$5:$C$19</f>
              <numCache>
                <formatCode>#,##0.00</formatCode>
                <ptCount val="13"/>
                <pt idx="0">
                  <v>245133.38</v>
                </pt>
                <pt idx="2">
                  <v>109274.66</v>
                </pt>
                <pt idx="3">
                  <v>308917.94</v>
                </pt>
                <pt idx="4">
                  <v>137777</v>
                </pt>
                <pt idx="5">
                  <v>317888.62</v>
                </pt>
                <pt idx="6">
                  <v>132072.19</v>
                </pt>
                <pt idx="7">
                  <v>205934.81</v>
                </pt>
                <pt idx="10">
                  <v>192169.17</v>
                </pt>
                <pt idx="11">
                  <v>152760.03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June - 7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June - 7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June - 7 June 2020'!$D$5:$D$19</f>
              <numCache>
                <formatCode>#,##0.00</formatCode>
                <ptCount val="13"/>
                <pt idx="0">
                  <v>65734.07000000001</v>
                </pt>
                <pt idx="1">
                  <v>0</v>
                </pt>
                <pt idx="2">
                  <v>34958.22</v>
                </pt>
                <pt idx="3">
                  <v>44040.15</v>
                </pt>
                <pt idx="4">
                  <v>56514.59</v>
                </pt>
                <pt idx="5">
                  <v>83837.66</v>
                </pt>
                <pt idx="6">
                  <v>26524.1</v>
                </pt>
                <pt idx="7">
                  <v>82779.45</v>
                </pt>
                <pt idx="8">
                  <v>0</v>
                </pt>
                <pt idx="9">
                  <v>0</v>
                </pt>
                <pt idx="10">
                  <v>59929.96</v>
                </pt>
                <pt idx="11">
                  <v>53835.4</v>
                </pt>
                <pt idx="12">
                  <v>34332.6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June - 14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2020'!$C$5:$C$19</f>
              <numCache>
                <formatCode>#,##0.00</formatCode>
                <ptCount val="13"/>
                <pt idx="0">
                  <v>236155.67</v>
                </pt>
                <pt idx="2">
                  <v>110836.84</v>
                </pt>
                <pt idx="4">
                  <v>143400.2</v>
                </pt>
                <pt idx="5">
                  <v>345738.87</v>
                </pt>
                <pt idx="6">
                  <v>139419.05</v>
                </pt>
                <pt idx="7">
                  <v>208358.17</v>
                </pt>
                <pt idx="10">
                  <v>183813.79</v>
                </pt>
                <pt idx="11">
                  <v>169068.42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June - 14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June - 14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June - 14 June 2020'!$D$5:$D$19</f>
              <numCache>
                <formatCode>#,##0.00</formatCode>
                <ptCount val="13"/>
                <pt idx="0">
                  <v>54499.07</v>
                </pt>
                <pt idx="1">
                  <v>0</v>
                </pt>
                <pt idx="2">
                  <v>41408.87</v>
                </pt>
                <pt idx="3">
                  <v>0</v>
                </pt>
                <pt idx="4">
                  <v>71904.74000000001</v>
                </pt>
                <pt idx="5">
                  <v>76161.41</v>
                </pt>
                <pt idx="6">
                  <v>3660.53</v>
                </pt>
                <pt idx="7">
                  <v>63627.84</v>
                </pt>
                <pt idx="8">
                  <v>0</v>
                </pt>
                <pt idx="9">
                  <v>0</v>
                </pt>
                <pt idx="10">
                  <v>44564.7</v>
                </pt>
                <pt idx="11">
                  <v>43845.19</v>
                </pt>
                <pt idx="12">
                  <v>32477.56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June - 21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2020'!$C$5:$C$19</f>
              <numCache>
                <formatCode>#,##0.00</formatCode>
                <ptCount val="13"/>
                <pt idx="0">
                  <v>250573.07</v>
                </pt>
                <pt idx="2">
                  <v>99413.99000000001</v>
                </pt>
                <pt idx="4">
                  <v>148386.36</v>
                </pt>
                <pt idx="5">
                  <v>350406.82</v>
                </pt>
                <pt idx="6">
                  <v>137174.82</v>
                </pt>
                <pt idx="7">
                  <v>203275.18</v>
                </pt>
                <pt idx="10">
                  <v>193070.24</v>
                </pt>
                <pt idx="11">
                  <v>145702.12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June - 21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June - 21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June - 21 June 2020'!$D$5:$D$19</f>
              <numCache>
                <formatCode>#,##0.00</formatCode>
                <ptCount val="13"/>
                <pt idx="0">
                  <v>56336.17</v>
                </pt>
                <pt idx="1">
                  <v>0</v>
                </pt>
                <pt idx="2">
                  <v>43799.66</v>
                </pt>
                <pt idx="3">
                  <v>0</v>
                </pt>
                <pt idx="4">
                  <v>92601.50999999999</v>
                </pt>
                <pt idx="5">
                  <v>91590.78</v>
                </pt>
                <pt idx="6">
                  <v>19728.52</v>
                </pt>
                <pt idx="7">
                  <v>70875.87</v>
                </pt>
                <pt idx="8">
                  <v>0</v>
                </pt>
                <pt idx="9">
                  <v>0</v>
                </pt>
                <pt idx="10">
                  <v>56047.11</v>
                </pt>
                <pt idx="11">
                  <v>40339.19</v>
                </pt>
                <pt idx="12">
                  <v>37827.84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June - 28 June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2020'!$C$5:$C$19</f>
              <numCache>
                <formatCode>#,##0.00</formatCode>
                <ptCount val="13"/>
                <pt idx="0">
                  <v>271223.01</v>
                </pt>
                <pt idx="2">
                  <v>110389.7</v>
                </pt>
                <pt idx="4">
                  <v>153229.93</v>
                </pt>
                <pt idx="5">
                  <v>385707.8</v>
                </pt>
                <pt idx="6">
                  <v>124310.04</v>
                </pt>
                <pt idx="7">
                  <v>223653.62</v>
                </pt>
                <pt idx="9">
                  <v>126934.85</v>
                </pt>
                <pt idx="10">
                  <v>212563.92</v>
                </pt>
                <pt idx="11">
                  <v>174527.99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June - 28 June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June - 28 June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June - 28 June 2020'!$D$5:$D$19</f>
              <numCache>
                <formatCode>#,##0.00</formatCode>
                <ptCount val="13"/>
                <pt idx="0">
                  <v>52216.16</v>
                </pt>
                <pt idx="1">
                  <v>0</v>
                </pt>
                <pt idx="2">
                  <v>40317.99</v>
                </pt>
                <pt idx="3">
                  <v>0</v>
                </pt>
                <pt idx="4">
                  <v>88545.89</v>
                </pt>
                <pt idx="5">
                  <v>102239.35</v>
                </pt>
                <pt idx="6">
                  <v>33440.19</v>
                </pt>
                <pt idx="7">
                  <v>76478.66</v>
                </pt>
                <pt idx="8">
                  <v>0</v>
                </pt>
                <pt idx="9">
                  <v>27768.3</v>
                </pt>
                <pt idx="10">
                  <v>57267.01</v>
                </pt>
                <pt idx="11">
                  <v>48313.77</v>
                </pt>
                <pt idx="12">
                  <v>35850.35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June - 5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2020'!$C$5:$C$19</f>
              <numCache>
                <formatCode>#,##0.00</formatCode>
                <ptCount val="13"/>
                <pt idx="0">
                  <v>289905.35</v>
                </pt>
                <pt idx="1">
                  <v>262280.91</v>
                </pt>
                <pt idx="2">
                  <v>99818.07000000001</v>
                </pt>
                <pt idx="4">
                  <v>151033.79</v>
                </pt>
                <pt idx="5">
                  <v>338755.04</v>
                </pt>
                <pt idx="6">
                  <v>130753.32</v>
                </pt>
                <pt idx="7">
                  <v>216356.41</v>
                </pt>
                <pt idx="8">
                  <v>216202.84</v>
                </pt>
                <pt idx="9">
                  <v>133866.99</v>
                </pt>
                <pt idx="10">
                  <v>204115.87</v>
                </pt>
                <pt idx="11">
                  <v>171677.33</v>
                </pt>
              </numCache>
            </numRef>
          </val>
        </ser>
        <ser>
          <idx val="3"/>
          <order val="1"/>
          <tx>
            <strRef>
              <f>'29 June - 5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June - 5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June - 5 July 2020'!$D$5:$D$19</f>
              <numCache>
                <formatCode>#,##0.00</formatCode>
                <ptCount val="13"/>
                <pt idx="0">
                  <v>76842.63</v>
                </pt>
                <pt idx="1">
                  <v>50110.12</v>
                </pt>
                <pt idx="2">
                  <v>43962.61</v>
                </pt>
                <pt idx="3">
                  <v>0</v>
                </pt>
                <pt idx="4">
                  <v>93462.3</v>
                </pt>
                <pt idx="5">
                  <v>101159.93</v>
                </pt>
                <pt idx="6">
                  <v>43792.43</v>
                </pt>
                <pt idx="7">
                  <v>85690.84</v>
                </pt>
                <pt idx="8">
                  <v>47775.05</v>
                </pt>
                <pt idx="9">
                  <v>34549.61</v>
                </pt>
                <pt idx="10">
                  <v>70811.86</v>
                </pt>
                <pt idx="11">
                  <v>72728.73</v>
                </pt>
                <pt idx="12">
                  <v>40314.31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July - 12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2020'!$C$5:$C$19</f>
              <numCache>
                <formatCode>#,##0.00</formatCode>
                <ptCount val="13"/>
                <pt idx="0">
                  <v>226514.71</v>
                </pt>
                <pt idx="1">
                  <v>204794.67</v>
                </pt>
                <pt idx="2">
                  <v>95007.63</v>
                </pt>
                <pt idx="3">
                  <v>0</v>
                </pt>
                <pt idx="4">
                  <v>131503.14</v>
                </pt>
                <pt idx="5">
                  <v>326039.56</v>
                </pt>
                <pt idx="6">
                  <v>125918.89</v>
                </pt>
                <pt idx="7">
                  <v>197895.08</v>
                </pt>
                <pt idx="8">
                  <v>157538.72</v>
                </pt>
                <pt idx="9">
                  <v>107345.47</v>
                </pt>
                <pt idx="10">
                  <v>190547.85</v>
                </pt>
                <pt idx="11">
                  <v>159732.85</v>
                </pt>
              </numCache>
            </numRef>
          </val>
        </ser>
        <ser>
          <idx val="3"/>
          <order val="1"/>
          <tx>
            <strRef>
              <f>'6 July - 12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July - 12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'6 July - 12 July 2020'!$D$5:$D$19</f>
              <numCache>
                <formatCode>#,##0.00</formatCode>
                <ptCount val="13"/>
                <pt idx="0">
                  <v>80792.57000000001</v>
                </pt>
                <pt idx="1">
                  <v>51345.6</v>
                </pt>
                <pt idx="2">
                  <v>46298.73</v>
                </pt>
                <pt idx="3">
                  <v>0</v>
                </pt>
                <pt idx="4">
                  <v>81602.67</v>
                </pt>
                <pt idx="5">
                  <v>108225.4</v>
                </pt>
                <pt idx="6">
                  <v>43519.28</v>
                </pt>
                <pt idx="7">
                  <v>86048.78999999999</v>
                </pt>
                <pt idx="8">
                  <v>53938.79</v>
                </pt>
                <pt idx="9">
                  <v>47187.09</v>
                </pt>
                <pt idx="10">
                  <v>63047.6</v>
                </pt>
                <pt idx="11">
                  <v>56017.28</v>
                </pt>
                <pt idx="12">
                  <v>41469.71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July - 19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2020'!$C$5:$C$19</f>
              <numCache>
                <formatCode>#,##0.00</formatCode>
                <ptCount val="13"/>
                <pt idx="0">
                  <v>246778.34</v>
                </pt>
                <pt idx="1">
                  <v>191381.89</v>
                </pt>
                <pt idx="2">
                  <v>97633.12</v>
                </pt>
                <pt idx="3">
                  <v>0</v>
                </pt>
                <pt idx="4">
                  <v>142718.31</v>
                </pt>
                <pt idx="5">
                  <v>312926.61</v>
                </pt>
                <pt idx="6">
                  <v>130704.49</v>
                </pt>
                <pt idx="7">
                  <v>187064.58</v>
                </pt>
                <pt idx="8">
                  <v>151349.99</v>
                </pt>
                <pt idx="9">
                  <v>115444.65</v>
                </pt>
                <pt idx="10">
                  <v>188856.74</v>
                </pt>
                <pt idx="11">
                  <v>160386.38</v>
                </pt>
              </numCache>
            </numRef>
          </val>
        </ser>
        <ser>
          <idx val="3"/>
          <order val="1"/>
          <tx>
            <strRef>
              <f>'13 July - 19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July - 19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'13 July - 19 July 2020'!$D$5:$D$19</f>
              <numCache>
                <formatCode>#,##0.00</formatCode>
                <ptCount val="13"/>
                <pt idx="0">
                  <v>72545.98</v>
                </pt>
                <pt idx="1">
                  <v>58282.09</v>
                </pt>
                <pt idx="2">
                  <v>48298.25</v>
                </pt>
                <pt idx="3">
                  <v>0</v>
                </pt>
                <pt idx="4">
                  <v>74387.09</v>
                </pt>
                <pt idx="5">
                  <v>92576.49000000001</v>
                </pt>
                <pt idx="6">
                  <v>41476.38</v>
                </pt>
                <pt idx="7">
                  <v>91864.47</v>
                </pt>
                <pt idx="8">
                  <v>57907.26</v>
                </pt>
                <pt idx="9">
                  <v>46581.21</v>
                </pt>
                <pt idx="10">
                  <v>71145.75999999999</v>
                </pt>
                <pt idx="11">
                  <v>60684.03</v>
                </pt>
                <pt idx="12">
                  <v>34887.11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July - 26 July 2020'!$C$3</f>
              <strCache>
                <ptCount val="1"/>
                <pt idx="0">
                  <v>LAST YEAR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2020'!$C$5:$C$19</f>
              <numCache>
                <formatCode>#,##0.00</formatCode>
                <ptCount val="13"/>
                <pt idx="0">
                  <v>271945.84</v>
                </pt>
                <pt idx="1">
                  <v>260258.72</v>
                </pt>
                <pt idx="2">
                  <v>125957.48</v>
                </pt>
                <pt idx="4">
                  <v>164093.67</v>
                </pt>
                <pt idx="5">
                  <v>353967.18</v>
                </pt>
                <pt idx="6">
                  <v>130324.87</v>
                </pt>
                <pt idx="7">
                  <v>212060.52</v>
                </pt>
                <pt idx="8">
                  <v>129536.18</v>
                </pt>
                <pt idx="9">
                  <v>113373.11</v>
                </pt>
                <pt idx="10">
                  <v>198530.03</v>
                </pt>
                <pt idx="11">
                  <v>162511.62</v>
                </pt>
              </numCache>
            </numRef>
          </val>
        </ser>
        <ser>
          <idx val="3"/>
          <order val="1"/>
          <tx>
            <strRef>
              <f>'20 July - 26 July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July - 26 July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'20 July - 26 July 2020'!$D$5:$D$19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July - 2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2020'!$B$5:$B$19</f>
              <numCache>
                <formatCode>#,##0.00</formatCode>
                <ptCount val="13"/>
                <pt idx="0">
                  <v>94828.28</v>
                </pt>
                <pt idx="1">
                  <v>70362.24000000001</v>
                </pt>
                <pt idx="2">
                  <v>58768.38</v>
                </pt>
                <pt idx="3">
                  <v>0</v>
                </pt>
                <pt idx="4">
                  <v>74596.09</v>
                </pt>
                <pt idx="5">
                  <v>116729.46</v>
                </pt>
                <pt idx="6">
                  <v>49044.45</v>
                </pt>
                <pt idx="7">
                  <v>92021.60000000001</v>
                </pt>
                <pt idx="8">
                  <v>60590.68</v>
                </pt>
                <pt idx="9">
                  <v>45783.2</v>
                </pt>
                <pt idx="10">
                  <v>67673.73</v>
                </pt>
                <pt idx="11">
                  <v>75274.81</v>
                </pt>
                <pt idx="12">
                  <v>39302.01</v>
                </pt>
              </numCache>
            </numRef>
          </val>
        </ser>
        <ser>
          <idx val="3"/>
          <order val="1"/>
          <tx>
            <strRef>
              <f>'27 July - 2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July - 2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'27 July - 2 August 2020'!$D$5:$D$19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August - 9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2020'!$B$5:$B$19</f>
              <numCache>
                <formatCode>#,##0.00</formatCode>
                <ptCount val="13"/>
                <pt idx="0">
                  <v>113180.17</v>
                </pt>
                <pt idx="1">
                  <v>95683.98</v>
                </pt>
                <pt idx="2">
                  <v>73006.92</v>
                </pt>
                <pt idx="3">
                  <v>0</v>
                </pt>
                <pt idx="4">
                  <v>99765.32000000001</v>
                </pt>
                <pt idx="5">
                  <v>124064.25</v>
                </pt>
                <pt idx="6">
                  <v>55893.07</v>
                </pt>
                <pt idx="7">
                  <v>115238.2</v>
                </pt>
                <pt idx="8">
                  <v>79999.16</v>
                </pt>
                <pt idx="9">
                  <v>62056.69</v>
                </pt>
                <pt idx="10">
                  <v>92644.31</v>
                </pt>
                <pt idx="11">
                  <v>75120.53</v>
                </pt>
                <pt idx="12">
                  <v>62483.34</v>
                </pt>
              </numCache>
            </numRef>
          </val>
        </ser>
        <ser>
          <idx val="3"/>
          <order val="1"/>
          <tx>
            <strRef>
              <f>'3 August - 9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August - 9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August - 9 August 2020'!$D$5:$D$19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August - 16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2020'!$B$5:$B$19</f>
              <numCache>
                <formatCode>#,##0.00</formatCode>
                <ptCount val="13"/>
                <pt idx="0">
                  <v>112106.32</v>
                </pt>
                <pt idx="1">
                  <v>88114</v>
                </pt>
                <pt idx="2">
                  <v>61802.85</v>
                </pt>
                <pt idx="3">
                  <v>0</v>
                </pt>
                <pt idx="4">
                  <v>97609.38</v>
                </pt>
                <pt idx="5">
                  <v>140006.55</v>
                </pt>
                <pt idx="6">
                  <v>55535.83</v>
                </pt>
                <pt idx="7">
                  <v>98860.87</v>
                </pt>
                <pt idx="8">
                  <v>107151.8</v>
                </pt>
                <pt idx="9">
                  <v>56624.28</v>
                </pt>
                <pt idx="10">
                  <v>83224.03999999999</v>
                </pt>
                <pt idx="11">
                  <v>69905.84</v>
                </pt>
                <pt idx="12">
                  <v>50010.15</v>
                </pt>
              </numCache>
            </numRef>
          </val>
        </ser>
        <ser>
          <idx val="3"/>
          <order val="1"/>
          <tx>
            <strRef>
              <f>'10 August - 16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August - 16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August - 16 August 2020'!$D$5:$D$19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August - 23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2020'!$B$5:$B$19</f>
              <numCache>
                <formatCode>#,##0.00</formatCode>
                <ptCount val="13"/>
                <pt idx="0">
                  <v>145715.87</v>
                </pt>
                <pt idx="1">
                  <v>95568.74000000001</v>
                </pt>
                <pt idx="2">
                  <v>70400.77</v>
                </pt>
                <pt idx="3">
                  <v>0</v>
                </pt>
                <pt idx="4">
                  <v>110791.55</v>
                </pt>
                <pt idx="5">
                  <v>149185.19</v>
                </pt>
                <pt idx="6">
                  <v>58499.72</v>
                </pt>
                <pt idx="7">
                  <v>114003.83</v>
                </pt>
                <pt idx="8">
                  <v>81421.25999999999</v>
                </pt>
                <pt idx="9">
                  <v>81736.92</v>
                </pt>
                <pt idx="10">
                  <v>98739.67</v>
                </pt>
                <pt idx="11">
                  <v>90858.2</v>
                </pt>
                <pt idx="12">
                  <v>65624.5</v>
                </pt>
              </numCache>
            </numRef>
          </val>
        </ser>
        <ser>
          <idx val="3"/>
          <order val="1"/>
          <tx>
            <strRef>
              <f>'17 August - 23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August - 23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August - 23 August 2020'!$D$5:$D$19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August - 30 August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2020'!$B$5:$B$19</f>
              <numCache>
                <formatCode>#,##0.00</formatCode>
                <ptCount val="13"/>
                <pt idx="0">
                  <v>148267.9</v>
                </pt>
                <pt idx="1">
                  <v>148887.1</v>
                </pt>
                <pt idx="2">
                  <v>97802.64</v>
                </pt>
                <pt idx="3">
                  <v>0</v>
                </pt>
                <pt idx="4">
                  <v>133499.7</v>
                </pt>
                <pt idx="5">
                  <v>217481.9</v>
                </pt>
                <pt idx="6">
                  <v>97296.56</v>
                </pt>
                <pt idx="7">
                  <v>159754.3</v>
                </pt>
                <pt idx="8">
                  <v>127454.9</v>
                </pt>
                <pt idx="9">
                  <v>98588.39999999999</v>
                </pt>
                <pt idx="10">
                  <v>156661</v>
                </pt>
                <pt idx="11">
                  <v>97925.73</v>
                </pt>
                <pt idx="12">
                  <v>59201.27</v>
                </pt>
              </numCache>
            </numRef>
          </val>
        </ser>
        <ser>
          <idx val="3"/>
          <order val="1"/>
          <tx>
            <strRef>
              <f>'24 August - 30 August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August - 30 August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August - 30 August 2020'!$D$5:$D$19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- 6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2020'!$B$5:$B$19</f>
              <numCache>
                <formatCode>#,##0.00</formatCode>
                <ptCount val="13"/>
                <pt idx="0">
                  <v>159546.92</v>
                </pt>
                <pt idx="1">
                  <v>159359.63</v>
                </pt>
                <pt idx="2">
                  <v>89576.67</v>
                </pt>
                <pt idx="3">
                  <v>167047.18</v>
                </pt>
                <pt idx="4">
                  <v>125718.07</v>
                </pt>
                <pt idx="5">
                  <v>225625.91</v>
                </pt>
                <pt idx="6">
                  <v>87304.83</v>
                </pt>
                <pt idx="7">
                  <v>157305.47</v>
                </pt>
                <pt idx="8">
                  <v>143641.05</v>
                </pt>
                <pt idx="9">
                  <v>102765.68</v>
                </pt>
                <pt idx="10">
                  <v>159701.51</v>
                </pt>
                <pt idx="11">
                  <v>122016.15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August - 6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- 6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August - 6 Sept 2020'!$D$5:$D$19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Sept - 13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2020'!$B$5:$B$19</f>
              <numCache>
                <formatCode>#,##0.00</formatCode>
                <ptCount val="13"/>
                <pt idx="0">
                  <v>182984.25</v>
                </pt>
                <pt idx="1">
                  <v>157601.76</v>
                </pt>
                <pt idx="2">
                  <v>105575.56</v>
                </pt>
                <pt idx="3">
                  <v>192741.92</v>
                </pt>
                <pt idx="4">
                  <v>118272</v>
                </pt>
                <pt idx="5">
                  <v>257820.21</v>
                </pt>
                <pt idx="6">
                  <v>104337.88</v>
                </pt>
                <pt idx="7">
                  <v>160475.67</v>
                </pt>
                <pt idx="8">
                  <v>148414.68</v>
                </pt>
                <pt idx="9">
                  <v>102976.22</v>
                </pt>
                <pt idx="10">
                  <v>145847.21</v>
                </pt>
                <pt idx="11">
                  <v>119750.29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Sept - 13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Sept - 13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Sept - 13 Sept 2020'!$D$5:$D$19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Sept - 20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2020'!$B$5:$B$19</f>
              <numCache>
                <formatCode>#,##0.00</formatCode>
                <ptCount val="13"/>
                <pt idx="0">
                  <v>172765.9</v>
                </pt>
                <pt idx="1">
                  <v>143196.01</v>
                </pt>
                <pt idx="2">
                  <v>90991.77</v>
                </pt>
                <pt idx="3">
                  <v>168420.84</v>
                </pt>
                <pt idx="4">
                  <v>107290.46</v>
                </pt>
                <pt idx="5">
                  <v>235120.91</v>
                </pt>
                <pt idx="6">
                  <v>86007.75</v>
                </pt>
                <pt idx="7">
                  <v>151321.61</v>
                </pt>
                <pt idx="8">
                  <v>141895.69</v>
                </pt>
                <pt idx="9">
                  <v>99944.92</v>
                </pt>
                <pt idx="10">
                  <v>166839.26</v>
                </pt>
                <pt idx="11">
                  <v>102846.8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Sept - 20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Sept - 20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Sept - 20 Sept 2020'!$D$5:$D$19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Sept - 27 Sept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2020'!$B$5:$B$19</f>
              <numCache>
                <formatCode>#,##0.00</formatCode>
                <ptCount val="13"/>
                <pt idx="0">
                  <v>186396.77</v>
                </pt>
                <pt idx="1">
                  <v>147411.68</v>
                </pt>
                <pt idx="2">
                  <v>98204.57000000001</v>
                </pt>
                <pt idx="3">
                  <v>191314.49</v>
                </pt>
                <pt idx="4">
                  <v>119965.3</v>
                </pt>
                <pt idx="5">
                  <v>214047.72</v>
                </pt>
                <pt idx="6">
                  <v>81184.59</v>
                </pt>
                <pt idx="7">
                  <v>167682.77</v>
                </pt>
                <pt idx="8">
                  <v>163505.59</v>
                </pt>
                <pt idx="9">
                  <v>102940.88</v>
                </pt>
                <pt idx="10">
                  <v>174633.4</v>
                </pt>
                <pt idx="11">
                  <v>146391.43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Sept - 27 Sept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Sept - 27 Sept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Sept - 27 Sept 2020'!$D$5:$D$19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Sept - 4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2020'!$B$5:$B$19</f>
              <numCache>
                <formatCode>#,##0.00</formatCode>
                <ptCount val="13"/>
                <pt idx="0">
                  <v>193260.1</v>
                </pt>
                <pt idx="1">
                  <v>188913.6</v>
                </pt>
                <pt idx="2">
                  <v>89530.67999999999</v>
                </pt>
                <pt idx="3">
                  <v>200774.8</v>
                </pt>
                <pt idx="4">
                  <v>103165.87</v>
                </pt>
                <pt idx="5">
                  <v>228682.9</v>
                </pt>
                <pt idx="6">
                  <v>81582.96000000001</v>
                </pt>
                <pt idx="7">
                  <v>137655.6</v>
                </pt>
                <pt idx="8">
                  <v>291679.7</v>
                </pt>
                <pt idx="9">
                  <v>96179.64999999999</v>
                </pt>
                <pt idx="10">
                  <v>167831.4</v>
                </pt>
                <pt idx="11">
                  <v>121073.1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Sept - 4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Sept - 4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Sept - 4 Oct 2020'!$D$5:$D$19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Oct - 11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2020'!$B$5:$B$19</f>
              <numCache>
                <formatCode>#,##0.00</formatCode>
                <ptCount val="13"/>
                <pt idx="0">
                  <v>192931.3</v>
                </pt>
                <pt idx="1">
                  <v>164012.6</v>
                </pt>
                <pt idx="2">
                  <v>97836.06</v>
                </pt>
                <pt idx="3">
                  <v>207464.7</v>
                </pt>
                <pt idx="4">
                  <v>122448.05</v>
                </pt>
                <pt idx="5">
                  <v>246009.2</v>
                </pt>
                <pt idx="6">
                  <v>89526.53</v>
                </pt>
                <pt idx="7">
                  <v>174284.5</v>
                </pt>
                <pt idx="8">
                  <v>154450.5</v>
                </pt>
                <pt idx="9">
                  <v>122050.93</v>
                </pt>
                <pt idx="10">
                  <v>170350.2</v>
                </pt>
                <pt idx="11">
                  <v>134288.3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Oct - 11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Oct - 11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Oct - 11 Oct 2020'!$D$5:$D$19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Oct - 18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2020'!$B$5:$B$19</f>
              <numCache>
                <formatCode>#,##0.00</formatCode>
                <ptCount val="13"/>
                <pt idx="0">
                  <v>177764.4</v>
                </pt>
                <pt idx="1">
                  <v>151403.3</v>
                </pt>
                <pt idx="2">
                  <v>87382.74000000001</v>
                </pt>
                <pt idx="3">
                  <v>215845.3</v>
                </pt>
                <pt idx="4">
                  <v>131049.9</v>
                </pt>
                <pt idx="5">
                  <v>275216.7</v>
                </pt>
                <pt idx="6">
                  <v>87023.78999999999</v>
                </pt>
                <pt idx="7">
                  <v>172397.2</v>
                </pt>
                <pt idx="8">
                  <v>163420.6</v>
                </pt>
                <pt idx="9">
                  <v>95734.88</v>
                </pt>
                <pt idx="10">
                  <v>164050.76</v>
                </pt>
                <pt idx="11">
                  <v>128300.32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Oct - 18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Oct - 18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Oct - 18 Oct 2020'!$D$5:$D$19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Oct - 25 Oct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2020'!$B$5:$B$19</f>
              <numCache>
                <formatCode>#,##0.00</formatCode>
                <ptCount val="13"/>
                <pt idx="0">
                  <v>202092.61</v>
                </pt>
                <pt idx="1">
                  <v>144428.65</v>
                </pt>
                <pt idx="2">
                  <v>96801.22</v>
                </pt>
                <pt idx="3">
                  <v>220338.1</v>
                </pt>
                <pt idx="4">
                  <v>115678.41</v>
                </pt>
                <pt idx="5">
                  <v>229531.73</v>
                </pt>
                <pt idx="6">
                  <v>93061.89999999999</v>
                </pt>
                <pt idx="7">
                  <v>160602.72</v>
                </pt>
                <pt idx="8">
                  <v>178044.11</v>
                </pt>
                <pt idx="9">
                  <v>108945.64</v>
                </pt>
                <pt idx="10">
                  <v>186599.06</v>
                </pt>
                <pt idx="11">
                  <v>134728.09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Oct - 25 Oct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Oct - 25 Oct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Oct - 25 Oct 2020'!$D$5:$D$19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Oct - 1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2020'!$B$5:$B$19</f>
              <numCache>
                <formatCode>#,##0.00</formatCode>
                <ptCount val="13"/>
                <pt idx="0">
                  <v>214564.31</v>
                </pt>
                <pt idx="1">
                  <v>126698.91</v>
                </pt>
                <pt idx="2">
                  <v>106467.28</v>
                </pt>
                <pt idx="3">
                  <v>208535.73</v>
                </pt>
                <pt idx="4">
                  <v>137760.55</v>
                </pt>
                <pt idx="5">
                  <v>250462.33</v>
                </pt>
                <pt idx="6">
                  <v>95623.24000000001</v>
                </pt>
                <pt idx="7">
                  <v>175444.48</v>
                </pt>
                <pt idx="8">
                  <v>200931.58</v>
                </pt>
                <pt idx="9">
                  <v>107591.84</v>
                </pt>
                <pt idx="10">
                  <v>179614.8</v>
                </pt>
                <pt idx="11">
                  <v>155614.62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Oct - 1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Oct - 1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Oct - 1 Nov 2020'!$D$5:$D$19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2020'!$B$5:$B$19</f>
              <numCache>
                <formatCode>#,##0.00</formatCode>
                <ptCount val="13"/>
                <pt idx="0">
                  <v>214590.59</v>
                </pt>
                <pt idx="1">
                  <v>179179</v>
                </pt>
                <pt idx="2">
                  <v>124514.14</v>
                </pt>
                <pt idx="3">
                  <v>262313.21</v>
                </pt>
                <pt idx="4">
                  <v>126652.18</v>
                </pt>
                <pt idx="5">
                  <v>261185.64</v>
                </pt>
                <pt idx="6">
                  <v>102439.49</v>
                </pt>
                <pt idx="7">
                  <v>195768.86</v>
                </pt>
                <pt idx="8">
                  <v>256522.34</v>
                </pt>
                <pt idx="9">
                  <v>123882.99</v>
                </pt>
                <pt idx="10">
                  <v>194764.01</v>
                </pt>
                <pt idx="11">
                  <v>163143.88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'2 - 8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'2 - 8 Nov 2020'!$D$5:$D$19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2020'!$B$5:$B$19</f>
              <numCache>
                <formatCode>#,##0.00</formatCode>
                <ptCount val="13"/>
                <pt idx="0">
                  <v>189591.76</v>
                </pt>
                <pt idx="1">
                  <v>153723.91</v>
                </pt>
                <pt idx="2">
                  <v>101357.56</v>
                </pt>
                <pt idx="3">
                  <v>224364.68</v>
                </pt>
                <pt idx="4">
                  <v>122526.09</v>
                </pt>
                <pt idx="5">
                  <v>268731.33</v>
                </pt>
                <pt idx="6">
                  <v>106610.16</v>
                </pt>
                <pt idx="7">
                  <v>181854.77</v>
                </pt>
                <pt idx="8">
                  <v>165659.22</v>
                </pt>
                <pt idx="9">
                  <v>117037.13</v>
                </pt>
                <pt idx="10">
                  <v>175289.7</v>
                </pt>
                <pt idx="11">
                  <v>139604.47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'9 - 15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'9 - 15 Nov 2020'!$D$5:$D$19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'16 - 22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'16 - 22 Nov 2020'!$D$5:$D$19</f>
              <numCache>
                <formatCode>#,##0.00</formatCode>
                <ptCount val="13"/>
                <pt idx="0">
                  <v>161283.62</v>
                </pt>
                <pt idx="1">
                  <v>178938.56</v>
                </pt>
                <pt idx="2">
                  <v>102953.87</v>
                </pt>
                <pt idx="3">
                  <v>211104.3</v>
                </pt>
                <pt idx="4">
                  <v>132187.5</v>
                </pt>
                <pt idx="5">
                  <v>240795.45</v>
                </pt>
                <pt idx="6">
                  <v>91468.42999999999</v>
                </pt>
                <pt idx="7">
                  <v>166631.94</v>
                </pt>
                <pt idx="8">
                  <v>157494.72</v>
                </pt>
                <pt idx="9">
                  <v>96347.74000000001</v>
                </pt>
                <pt idx="10">
                  <v>144792.58</v>
                </pt>
                <pt idx="11">
                  <v>127656.79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Nov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2020'!$B$5:$B$19</f>
              <numCache>
                <formatCode>#,##0.00</formatCode>
                <ptCount val="13"/>
                <pt idx="0">
                  <v>172666.79</v>
                </pt>
                <pt idx="1">
                  <v>183294.98</v>
                </pt>
                <pt idx="2">
                  <v>87639.38</v>
                </pt>
                <pt idx="3">
                  <v>192269.09</v>
                </pt>
                <pt idx="4">
                  <v>127707.36</v>
                </pt>
                <pt idx="5">
                  <v>247480.1</v>
                </pt>
                <pt idx="6">
                  <v>104099.76</v>
                </pt>
                <pt idx="7">
                  <v>171163.5</v>
                </pt>
                <pt idx="8">
                  <v>159466.45</v>
                </pt>
                <pt idx="9">
                  <v>98894.32000000001</v>
                </pt>
                <pt idx="10">
                  <v>162874.76</v>
                </pt>
                <pt idx="11">
                  <v>136607.85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'23 - 29 Nov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Nov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'23 - 29 Nov 2020'!$D$5:$D$19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Nov - 6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2020'!$B$5:$B$19</f>
              <numCache>
                <formatCode>#,##0.00</formatCode>
                <ptCount val="13"/>
                <pt idx="0">
                  <v>213583.61</v>
                </pt>
                <pt idx="1">
                  <v>249670.73</v>
                </pt>
                <pt idx="2">
                  <v>119566.77</v>
                </pt>
                <pt idx="3">
                  <v>284837.61</v>
                </pt>
                <pt idx="4">
                  <v>148998.25</v>
                </pt>
                <pt idx="5">
                  <v>263055.05</v>
                </pt>
                <pt idx="6">
                  <v>124554.72</v>
                </pt>
                <pt idx="7">
                  <v>209999.11</v>
                </pt>
                <pt idx="8">
                  <v>151585.43</v>
                </pt>
                <pt idx="9">
                  <v>126972.01</v>
                </pt>
                <pt idx="10">
                  <v>143830.58</v>
                </pt>
                <pt idx="11">
                  <v>179881.07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'30 Nov - 6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Nov - 6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'30 Nov - 6 Dec 2020'!$D$5:$D$19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2020'!$B$5:$B$19</f>
              <numCache>
                <formatCode>#,##0.00</formatCode>
                <ptCount val="13"/>
                <pt idx="0">
                  <v>237187.54</v>
                </pt>
                <pt idx="1">
                  <v>354852.1</v>
                </pt>
                <pt idx="2">
                  <v>103296.92</v>
                </pt>
                <pt idx="3">
                  <v>269423.21</v>
                </pt>
                <pt idx="4">
                  <v>158423.91</v>
                </pt>
                <pt idx="5">
                  <v>277968.48</v>
                </pt>
                <pt idx="6">
                  <v>107695.94</v>
                </pt>
                <pt idx="7">
                  <v>190923.7</v>
                </pt>
                <pt idx="8">
                  <v>175056.05</v>
                </pt>
                <pt idx="9">
                  <v>148198.58</v>
                </pt>
                <pt idx="10">
                  <v>192358.53</v>
                </pt>
                <pt idx="11">
                  <v>183327.04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Dec 2020'!$D$5:$D$19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2020'!$B$5:$B$19</f>
              <numCache>
                <formatCode>#,##0.00</formatCode>
                <ptCount val="13"/>
                <pt idx="0">
                  <v>211933.97</v>
                </pt>
                <pt idx="1">
                  <v>399085.56</v>
                </pt>
                <pt idx="2">
                  <v>105332.63</v>
                </pt>
                <pt idx="3">
                  <v>348302.25</v>
                </pt>
                <pt idx="4">
                  <v>155504.39</v>
                </pt>
                <pt idx="5">
                  <v>272045.12</v>
                </pt>
                <pt idx="6">
                  <v>110968.88</v>
                </pt>
                <pt idx="7">
                  <v>221561.43</v>
                </pt>
                <pt idx="8">
                  <v>235811.02</v>
                </pt>
                <pt idx="9">
                  <v>149536.15</v>
                </pt>
                <pt idx="10">
                  <v>185388.01</v>
                </pt>
                <pt idx="11">
                  <v>157947.54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Dec 2020'!$D$5:$D$19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Dec 2020'!$B$3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2020'!$B$5:$B$19</f>
              <numCache>
                <formatCode>#,##0.00</formatCode>
                <ptCount val="13"/>
                <pt idx="0">
                  <v>237883.58</v>
                </pt>
                <pt idx="1">
                  <v>387463.59</v>
                </pt>
                <pt idx="2">
                  <v>106325.81</v>
                </pt>
                <pt idx="3">
                  <v>315397.28</v>
                </pt>
                <pt idx="4">
                  <v>136185.12</v>
                </pt>
                <pt idx="5">
                  <v>284781.13</v>
                </pt>
                <pt idx="6">
                  <v>105426.19</v>
                </pt>
                <pt idx="7">
                  <v>192989.24</v>
                </pt>
                <pt idx="8">
                  <v>415182.37</v>
                </pt>
                <pt idx="9">
                  <v>140278.5</v>
                </pt>
                <pt idx="10">
                  <v>167200.12</v>
                </pt>
                <pt idx="11">
                  <v>150774.19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Dec 2020'!$D$3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Dec 2020'!$A$5:$A$19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Dec 2020'!$D$5:$D$19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Dec 2020 - 3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2021'!$B$5:$B$19</f>
              <numCache>
                <formatCode>#,##0.00</formatCode>
                <ptCount val="13"/>
                <pt idx="0">
                  <v>153645.04</v>
                </pt>
                <pt idx="1">
                  <v>250899.36</v>
                </pt>
                <pt idx="2">
                  <v>54247.96</v>
                </pt>
                <pt idx="3">
                  <v>188195.54</v>
                </pt>
                <pt idx="4">
                  <v>91596.78</v>
                </pt>
                <pt idx="5">
                  <v>201645.67</v>
                </pt>
                <pt idx="6">
                  <v>79915.53</v>
                </pt>
                <pt idx="7">
                  <v>126657.65</v>
                </pt>
                <pt idx="8">
                  <v>544494.12</v>
                </pt>
                <pt idx="9">
                  <v>90716.7</v>
                </pt>
                <pt idx="10">
                  <v>95656.3</v>
                </pt>
                <pt idx="11">
                  <v>110233.85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Dec 2020 - 3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Dec 2020 - 3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Dec 2020 - 3 Jan 2021'!$D$5:$D$19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2021'!$B$5:$B$19</f>
              <numCache>
                <formatCode>#,##0.00</formatCode>
                <ptCount val="13"/>
                <pt idx="0">
                  <v>102807.9</v>
                </pt>
                <pt idx="1">
                  <v>106626.3</v>
                </pt>
                <pt idx="2">
                  <v>49292.77</v>
                </pt>
                <pt idx="3">
                  <v>130613.75</v>
                </pt>
                <pt idx="4">
                  <v>72961.5</v>
                </pt>
                <pt idx="5">
                  <v>122773.19</v>
                </pt>
                <pt idx="6">
                  <v>76971.94</v>
                </pt>
                <pt idx="7">
                  <v>105150.61</v>
                </pt>
                <pt idx="8">
                  <v>528430.3</v>
                </pt>
                <pt idx="9">
                  <v>63938.09</v>
                </pt>
                <pt idx="10">
                  <v>79557.17</v>
                </pt>
                <pt idx="11">
                  <v>103042.11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'4 - 10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'4 - 10 Jan 2021'!$D$5:$D$19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2021'!$B$5:$B$19</f>
              <numCache>
                <formatCode>#,##0.00</formatCode>
                <ptCount val="13"/>
                <pt idx="0">
                  <v>132428.34</v>
                </pt>
                <pt idx="1">
                  <v>83309.19</v>
                </pt>
                <pt idx="2">
                  <v>52090.83</v>
                </pt>
                <pt idx="3">
                  <v>114208.02</v>
                </pt>
                <pt idx="4">
                  <v>81183.02</v>
                </pt>
                <pt idx="5">
                  <v>157522.23</v>
                </pt>
                <pt idx="6">
                  <v>67869.49000000001</v>
                </pt>
                <pt idx="7">
                  <v>111534.91</v>
                </pt>
                <pt idx="8">
                  <v>285822.7</v>
                </pt>
                <pt idx="9">
                  <v>67752.66</v>
                </pt>
                <pt idx="10">
                  <v>89115.75</v>
                </pt>
                <pt idx="11">
                  <v>96251.57000000001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'11 - 17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'11 - 17 Jan 2021'!$D$5:$D$19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2021'!$B$5:$B$19</f>
              <numCache>
                <formatCode>#,##0.00</formatCode>
                <ptCount val="13"/>
                <pt idx="0">
                  <v>102020.09</v>
                </pt>
                <pt idx="1">
                  <v>73159.12</v>
                </pt>
                <pt idx="2">
                  <v>56114.02</v>
                </pt>
                <pt idx="3">
                  <v>108730.35</v>
                </pt>
                <pt idx="4">
                  <v>77116.8</v>
                </pt>
                <pt idx="5">
                  <v>157715.56</v>
                </pt>
                <pt idx="6">
                  <v>55044.09</v>
                </pt>
                <pt idx="7">
                  <v>118995.01</v>
                </pt>
                <pt idx="8">
                  <v>138069.18</v>
                </pt>
                <pt idx="9">
                  <v>60443.66</v>
                </pt>
                <pt idx="10">
                  <v>83735.3</v>
                </pt>
                <pt idx="11">
                  <v>106413.03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'18 - 24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'18 - 24 Jan 2021'!$D$5:$D$19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Jan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2021'!$B$5:$B$19</f>
              <numCache>
                <formatCode>#,##0.00</formatCode>
                <ptCount val="13"/>
                <pt idx="0">
                  <v>112369.07</v>
                </pt>
                <pt idx="1">
                  <v>76215.50999999999</v>
                </pt>
                <pt idx="2">
                  <v>47315.59</v>
                </pt>
                <pt idx="3">
                  <v>100356.98</v>
                </pt>
                <pt idx="4">
                  <v>86299.71000000001</v>
                </pt>
                <pt idx="5">
                  <v>141673.04</v>
                </pt>
                <pt idx="6">
                  <v>71651.85000000001</v>
                </pt>
                <pt idx="7">
                  <v>125906.05</v>
                </pt>
                <pt idx="8">
                  <v>106853.6</v>
                </pt>
                <pt idx="9">
                  <v>62660.29</v>
                </pt>
                <pt idx="10">
                  <v>85253.73</v>
                </pt>
                <pt idx="11">
                  <v>102837.09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'25 - 31 Jan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Jan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'25 - 31 Jan 2021'!$D$5:$D$19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2021'!$B$5:$B$19</f>
              <numCache>
                <formatCode>#,##0.00</formatCode>
                <ptCount val="13"/>
                <pt idx="0">
                  <v>126561.93</v>
                </pt>
                <pt idx="1">
                  <v>93776.87</v>
                </pt>
                <pt idx="2">
                  <v>57360.48</v>
                </pt>
                <pt idx="3">
                  <v>126300.8</v>
                </pt>
                <pt idx="4">
                  <v>84843.92999999999</v>
                </pt>
                <pt idx="5">
                  <v>166326.36</v>
                </pt>
                <pt idx="6">
                  <v>69138.12</v>
                </pt>
                <pt idx="7">
                  <v>132147.5</v>
                </pt>
                <pt idx="8">
                  <v>102350.02</v>
                </pt>
                <pt idx="9">
                  <v>69979.25999999999</v>
                </pt>
                <pt idx="10">
                  <v>98293.32000000001</v>
                </pt>
                <pt idx="11">
                  <v>103453.32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Feb 2021'!$D$5:$D$19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2021'!$B$5:$B$19</f>
              <numCache>
                <formatCode>#,##0.00</formatCode>
                <ptCount val="13"/>
                <pt idx="0">
                  <v>174135.04</v>
                </pt>
                <pt idx="1">
                  <v>142494.72</v>
                </pt>
                <pt idx="2">
                  <v>83932.42</v>
                </pt>
                <pt idx="3">
                  <v>179928.28</v>
                </pt>
                <pt idx="4">
                  <v>109234.04</v>
                </pt>
                <pt idx="5">
                  <v>253363.15</v>
                </pt>
                <pt idx="6">
                  <v>94925.62</v>
                </pt>
                <pt idx="7">
                  <v>172280.88</v>
                </pt>
                <pt idx="8">
                  <v>160228.96</v>
                </pt>
                <pt idx="9">
                  <v>103278.04</v>
                </pt>
                <pt idx="10">
                  <v>153397.76</v>
                </pt>
                <pt idx="11">
                  <v>144117.34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Feb 2021'!$D$5:$D$19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2021'!$B$5:$B$19</f>
              <numCache>
                <formatCode>#,##0.00</formatCode>
                <ptCount val="13"/>
                <pt idx="0">
                  <v>202762.61</v>
                </pt>
                <pt idx="1">
                  <v>178474.03</v>
                </pt>
                <pt idx="2">
                  <v>110711.04</v>
                </pt>
                <pt idx="3">
                  <v>198799.16</v>
                </pt>
                <pt idx="4">
                  <v>135409.77</v>
                </pt>
                <pt idx="5">
                  <v>261595.82</v>
                </pt>
                <pt idx="6">
                  <v>91358.63</v>
                </pt>
                <pt idx="7">
                  <v>177641.09</v>
                </pt>
                <pt idx="8">
                  <v>182308.79</v>
                </pt>
                <pt idx="9">
                  <v>129098.68</v>
                </pt>
                <pt idx="10">
                  <v>160471.09</v>
                </pt>
                <pt idx="11">
                  <v>158619.59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Feb 2021'!$D$5:$D$19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Feb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2021'!$B$5:$B$19</f>
              <numCache>
                <formatCode>#,##0.00</formatCode>
                <ptCount val="13"/>
                <pt idx="0">
                  <v>165200.45</v>
                </pt>
                <pt idx="1">
                  <v>184331.41</v>
                </pt>
                <pt idx="2">
                  <v>98951.05</v>
                </pt>
                <pt idx="3">
                  <v>162718.67</v>
                </pt>
                <pt idx="4">
                  <v>122033.43</v>
                </pt>
                <pt idx="5">
                  <v>221002.14</v>
                </pt>
                <pt idx="6">
                  <v>88183.52</v>
                </pt>
                <pt idx="7">
                  <v>149010.02</v>
                </pt>
                <pt idx="8">
                  <v>156007.67</v>
                </pt>
                <pt idx="9">
                  <v>102794.63</v>
                </pt>
                <pt idx="10">
                  <v>154232.44</v>
                </pt>
                <pt idx="11">
                  <v>137658.71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Feb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Feb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Feb 2021'!$D$5:$D$19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2021'!$B$5:$B$19</f>
              <numCache>
                <formatCode>#,##0.00</formatCode>
                <ptCount val="13"/>
                <pt idx="0">
                  <v>196903.92</v>
                </pt>
                <pt idx="1">
                  <v>173960.86</v>
                </pt>
                <pt idx="2">
                  <v>111469.73</v>
                </pt>
                <pt idx="3">
                  <v>190614.69</v>
                </pt>
                <pt idx="4">
                  <v>116160.61</v>
                </pt>
                <pt idx="5">
                  <v>254389.59</v>
                </pt>
                <pt idx="6">
                  <v>107281.25</v>
                </pt>
                <pt idx="7">
                  <v>205505.59</v>
                </pt>
                <pt idx="8">
                  <v>183950.38</v>
                </pt>
                <pt idx="9">
                  <v>124746.86</v>
                </pt>
                <pt idx="10">
                  <v>149742.83</v>
                </pt>
                <pt idx="11">
                  <v>167359.84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'1 - 7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'1 - 7 March 2021'!$D$5:$D$19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2021'!$B$5:$B$19</f>
              <numCache>
                <formatCode>#,##0.00</formatCode>
                <ptCount val="13"/>
                <pt idx="0">
                  <v>183695.37</v>
                </pt>
                <pt idx="1">
                  <v>174386.29</v>
                </pt>
                <pt idx="2">
                  <v>115000.01</v>
                </pt>
                <pt idx="3">
                  <v>192189.52</v>
                </pt>
                <pt idx="4">
                  <v>125510.9</v>
                </pt>
                <pt idx="5">
                  <v>236841.47</v>
                </pt>
                <pt idx="6">
                  <v>121011.83</v>
                </pt>
                <pt idx="7">
                  <v>199536.55</v>
                </pt>
                <pt idx="8">
                  <v>174523.57</v>
                </pt>
                <pt idx="9">
                  <v>117847.8</v>
                </pt>
                <pt idx="10">
                  <v>164974.12</v>
                </pt>
                <pt idx="11">
                  <v>136777.83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'8 - 14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'8 - 14 March 2021'!$D$5:$D$19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2021'!$B$5:$B$19</f>
              <numCache>
                <formatCode>#,##0.00</formatCode>
                <ptCount val="13"/>
                <pt idx="0">
                  <v>198648.1</v>
                </pt>
                <pt idx="1">
                  <v>173140.42</v>
                </pt>
                <pt idx="2">
                  <v>99515.73</v>
                </pt>
                <pt idx="3">
                  <v>172867.87</v>
                </pt>
                <pt idx="4">
                  <v>127052.23</v>
                </pt>
                <pt idx="5">
                  <v>241525.48</v>
                </pt>
                <pt idx="6">
                  <v>125360.51</v>
                </pt>
                <pt idx="7">
                  <v>194657.22</v>
                </pt>
                <pt idx="8">
                  <v>172209.53</v>
                </pt>
                <pt idx="9">
                  <v>128763</v>
                </pt>
                <pt idx="10">
                  <v>163994.21</v>
                </pt>
                <pt idx="11">
                  <v>136531.2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'15 - 21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'15 - 21 March 2021'!$D$5:$D$19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March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2021'!$B$5:$B$19</f>
              <numCache>
                <formatCode>#,##0.00</formatCode>
                <ptCount val="13"/>
                <pt idx="0">
                  <v>206498.35</v>
                </pt>
                <pt idx="1">
                  <v>147714.4</v>
                </pt>
                <pt idx="2">
                  <v>108914.78</v>
                </pt>
                <pt idx="3">
                  <v>155464.65</v>
                </pt>
                <pt idx="4">
                  <v>133790.08</v>
                </pt>
                <pt idx="5">
                  <v>243817.58</v>
                </pt>
                <pt idx="6">
                  <v>106568.05</v>
                </pt>
                <pt idx="7">
                  <v>174962.19</v>
                </pt>
                <pt idx="8">
                  <v>196261.01</v>
                </pt>
                <pt idx="9">
                  <v>111117.76</v>
                </pt>
                <pt idx="10">
                  <v>154734.54</v>
                </pt>
                <pt idx="11">
                  <v>139950.44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'22 - 28 March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March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'22 - 28 March 2021'!$D$5:$D$19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March - 4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2021'!$B$5:$B$19</f>
              <numCache>
                <formatCode>#,##0.00</formatCode>
                <ptCount val="13"/>
                <pt idx="0">
                  <v>239554.84</v>
                </pt>
                <pt idx="1">
                  <v>207285.93</v>
                </pt>
                <pt idx="2">
                  <v>106593.48</v>
                </pt>
                <pt idx="3">
                  <v>211727.89</v>
                </pt>
                <pt idx="4">
                  <v>135888.34</v>
                </pt>
                <pt idx="5">
                  <v>269732.1</v>
                </pt>
                <pt idx="6">
                  <v>104694.16</v>
                </pt>
                <pt idx="7">
                  <v>186508.59</v>
                </pt>
                <pt idx="8">
                  <v>184312.76</v>
                </pt>
                <pt idx="9">
                  <v>136626.65</v>
                </pt>
                <pt idx="10">
                  <v>153117.04</v>
                </pt>
                <pt idx="11">
                  <v>146169.39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'29 March - 4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March - 4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'29 March - 4 April 2021'!$D$5:$D$19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2021'!$B$5:$B$19</f>
              <numCache>
                <formatCode>#,##0.00</formatCode>
                <ptCount val="13"/>
                <pt idx="0">
                  <v>236609.43</v>
                </pt>
                <pt idx="1">
                  <v>173141.14</v>
                </pt>
                <pt idx="2">
                  <v>105353.72</v>
                </pt>
                <pt idx="3">
                  <v>197422.2</v>
                </pt>
                <pt idx="4">
                  <v>108440.93</v>
                </pt>
                <pt idx="5">
                  <v>224658.72</v>
                </pt>
                <pt idx="6">
                  <v>94333.82000000001</v>
                </pt>
                <pt idx="7">
                  <v>180677.39</v>
                </pt>
                <pt idx="8">
                  <v>327868.75</v>
                </pt>
                <pt idx="9">
                  <v>121974.5</v>
                </pt>
                <pt idx="10">
                  <v>135153.09</v>
                </pt>
                <pt idx="11">
                  <v>138476.72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'5 - 11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'5 - 11 April 2021'!$D$5:$D$19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2021'!$B$5:$B$19</f>
              <numCache>
                <formatCode>#,##0.00</formatCode>
                <ptCount val="13"/>
                <pt idx="0">
                  <v>258207.15</v>
                </pt>
                <pt idx="1">
                  <v>181224.09</v>
                </pt>
                <pt idx="2">
                  <v>91734.23</v>
                </pt>
                <pt idx="3">
                  <v>185992.05</v>
                </pt>
                <pt idx="4">
                  <v>140346.83</v>
                </pt>
                <pt idx="5">
                  <v>234239.76</v>
                </pt>
                <pt idx="6">
                  <v>97582.09</v>
                </pt>
                <pt idx="7">
                  <v>176649.13</v>
                </pt>
                <pt idx="8">
                  <v>241778.39</v>
                </pt>
                <pt idx="9">
                  <v>119730.4</v>
                </pt>
                <pt idx="10">
                  <v>161232.97</v>
                </pt>
                <pt idx="11">
                  <v>127761.5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'12 - 18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'12 - 18 April 2021'!$D$5:$D$19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April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2021'!$B$5:$B$19</f>
              <numCache>
                <formatCode>#,##0.00</formatCode>
                <ptCount val="13"/>
                <pt idx="0">
                  <v>217480.61</v>
                </pt>
                <pt idx="1">
                  <v>179455.47</v>
                </pt>
                <pt idx="2">
                  <v>87710.19</v>
                </pt>
                <pt idx="3">
                  <v>185413.17</v>
                </pt>
                <pt idx="4">
                  <v>123492.34</v>
                </pt>
                <pt idx="5">
                  <v>250526.02</v>
                </pt>
                <pt idx="6">
                  <v>95613.78999999999</v>
                </pt>
                <pt idx="7">
                  <v>181135.9</v>
                </pt>
                <pt idx="8">
                  <v>169093.03</v>
                </pt>
                <pt idx="9">
                  <v>112492.7</v>
                </pt>
                <pt idx="10">
                  <v>159048.68</v>
                </pt>
                <pt idx="11">
                  <v>143288.02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'19 - 25 April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April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'19 - 25 April 2021'!$D$5:$D$19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April - 2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2021'!$B$5:$B$19</f>
              <numCache>
                <formatCode>#,##0.00</formatCode>
                <ptCount val="13"/>
                <pt idx="0">
                  <v>229636.49</v>
                </pt>
                <pt idx="1">
                  <v>160664.57</v>
                </pt>
                <pt idx="2">
                  <v>89032.8</v>
                </pt>
                <pt idx="3">
                  <v>204139.39</v>
                </pt>
                <pt idx="4">
                  <v>135624.76</v>
                </pt>
                <pt idx="5">
                  <v>230674.35</v>
                </pt>
                <pt idx="6">
                  <v>103180.73</v>
                </pt>
                <pt idx="7">
                  <v>180607.58</v>
                </pt>
                <pt idx="8">
                  <v>241634.12</v>
                </pt>
                <pt idx="9">
                  <v>130219.14</v>
                </pt>
                <pt idx="10">
                  <v>149272.72</v>
                </pt>
                <pt idx="11">
                  <v>145568.47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'26 April - 2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April - 2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'26 April - 2 May 2021'!$D$5:$D$19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2021'!$B$5:$B$19</f>
              <numCache>
                <formatCode>#,##0.00</formatCode>
                <ptCount val="13"/>
                <pt idx="0">
                  <v>282442.31</v>
                </pt>
                <pt idx="1">
                  <v>187544.1</v>
                </pt>
                <pt idx="2">
                  <v>128042.35</v>
                </pt>
                <pt idx="3">
                  <v>223881.33</v>
                </pt>
                <pt idx="4">
                  <v>128733.27</v>
                </pt>
                <pt idx="5">
                  <v>297909.15</v>
                </pt>
                <pt idx="6">
                  <v>99879.81</v>
                </pt>
                <pt idx="7">
                  <v>192771.76</v>
                </pt>
                <pt idx="8">
                  <v>335289.78</v>
                </pt>
                <pt idx="9">
                  <v>147345.05</v>
                </pt>
                <pt idx="10">
                  <v>184045.59</v>
                </pt>
                <pt idx="11">
                  <v>163412.86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'3 - 9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'3 - 9 May 2021'!$D$5:$D$19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2021'!$B$5:$B$19</f>
              <numCache>
                <formatCode>#,##0.00</formatCode>
                <ptCount val="13"/>
                <pt idx="0">
                  <v>203627.09</v>
                </pt>
                <pt idx="1">
                  <v>197591.81</v>
                </pt>
                <pt idx="2">
                  <v>101409.11</v>
                </pt>
                <pt idx="3">
                  <v>177312.6</v>
                </pt>
                <pt idx="4">
                  <v>148751.57</v>
                </pt>
                <pt idx="5">
                  <v>285169.07</v>
                </pt>
                <pt idx="6">
                  <v>98245.55</v>
                </pt>
                <pt idx="7">
                  <v>184334.64</v>
                </pt>
                <pt idx="8">
                  <v>166850.45</v>
                </pt>
                <pt idx="9">
                  <v>119683.93</v>
                </pt>
                <pt idx="10">
                  <v>169209.44</v>
                </pt>
                <pt idx="11">
                  <v>174159.43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'10 - 16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'10 - 16 May 2021'!$D$5:$D$19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2021'!$B$5:$B$19</f>
              <numCache>
                <formatCode>#,##0.00</formatCode>
                <ptCount val="13"/>
                <pt idx="0">
                  <v>194847.13</v>
                </pt>
                <pt idx="1">
                  <v>204578.06</v>
                </pt>
                <pt idx="2">
                  <v>100528.11</v>
                </pt>
                <pt idx="3">
                  <v>185947.3</v>
                </pt>
                <pt idx="4">
                  <v>120234.69</v>
                </pt>
                <pt idx="5">
                  <v>250633.44</v>
                </pt>
                <pt idx="6">
                  <v>98898.64999999999</v>
                </pt>
                <pt idx="7">
                  <v>169528.01</v>
                </pt>
                <pt idx="8">
                  <v>135471.54</v>
                </pt>
                <pt idx="9">
                  <v>114724.17</v>
                </pt>
                <pt idx="10">
                  <v>156416.17</v>
                </pt>
                <pt idx="11">
                  <v>144258.99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'17 - 23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'17 - 23 May 2021'!$D$5:$D$19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May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2021'!$B$5:$B$19</f>
              <numCache>
                <formatCode>#,##0.00</formatCode>
                <ptCount val="13"/>
                <pt idx="0">
                  <v>171452.75</v>
                </pt>
                <pt idx="1">
                  <v>153733.9</v>
                </pt>
                <pt idx="2">
                  <v>98667.17</v>
                </pt>
                <pt idx="3">
                  <v>158175.95</v>
                </pt>
                <pt idx="4">
                  <v>130654.18</v>
                </pt>
                <pt idx="5">
                  <v>260839.29</v>
                </pt>
                <pt idx="6">
                  <v>110940.29</v>
                </pt>
                <pt idx="7">
                  <v>169683.54</v>
                </pt>
                <pt idx="8">
                  <v>162458.28</v>
                </pt>
                <pt idx="9">
                  <v>108250.42</v>
                </pt>
                <pt idx="10">
                  <v>156591.71</v>
                </pt>
                <pt idx="11">
                  <v>130122.86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'24 - 30 May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May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'24 - 30 May 2021'!$D$5:$D$19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May - 6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2021'!$B$5:$B$19</f>
              <numCache>
                <formatCode>#,##0.00</formatCode>
                <ptCount val="13"/>
                <pt idx="0">
                  <v>214205.06</v>
                </pt>
                <pt idx="1">
                  <v>173233.87</v>
                </pt>
                <pt idx="2">
                  <v>129250.82</v>
                </pt>
                <pt idx="3">
                  <v>205371.75</v>
                </pt>
                <pt idx="4">
                  <v>112263.55</v>
                </pt>
                <pt idx="5">
                  <v>258592</v>
                </pt>
                <pt idx="6">
                  <v>110629.59</v>
                </pt>
                <pt idx="7">
                  <v>201178.29</v>
                </pt>
                <pt idx="8">
                  <v>139836.46</v>
                </pt>
                <pt idx="9">
                  <v>131494.71</v>
                </pt>
                <pt idx="10">
                  <v>160723.01</v>
                </pt>
                <pt idx="11">
                  <v>158856.56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'31 May - 6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May - 6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'31 May - 6 June 2021'!$D$5:$D$19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2021'!$B$5:$B$19</f>
              <numCache>
                <formatCode>#,##0.00</formatCode>
                <ptCount val="13"/>
                <pt idx="0">
                  <v>181872.52</v>
                </pt>
                <pt idx="1">
                  <v>137349.18</v>
                </pt>
                <pt idx="2">
                  <v>101572.02</v>
                </pt>
                <pt idx="3">
                  <v>148315.18</v>
                </pt>
                <pt idx="4">
                  <v>135817.28</v>
                </pt>
                <pt idx="5">
                  <v>266240.07</v>
                </pt>
                <pt idx="6">
                  <v>113857</v>
                </pt>
                <pt idx="7">
                  <v>173078.97</v>
                </pt>
                <pt idx="8">
                  <v>119262.39</v>
                </pt>
                <pt idx="9">
                  <v>110387.7</v>
                </pt>
                <pt idx="10">
                  <v>165603.86</v>
                </pt>
                <pt idx="11">
                  <v>119243.86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'7 - 13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'7 - 13 June 2021'!$D$5:$D$19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2021'!$B$5:$B$19</f>
              <numCache>
                <formatCode>#,##0.00</formatCode>
                <ptCount val="13"/>
                <pt idx="0">
                  <v>159835.8</v>
                </pt>
                <pt idx="1">
                  <v>119124.17</v>
                </pt>
                <pt idx="2">
                  <v>96926.07000000001</v>
                </pt>
                <pt idx="3">
                  <v>149259.91</v>
                </pt>
                <pt idx="4">
                  <v>9206.860000000001</v>
                </pt>
                <pt idx="5">
                  <v>222935.03</v>
                </pt>
                <pt idx="6">
                  <v>95672.92999999999</v>
                </pt>
                <pt idx="7">
                  <v>159408.99</v>
                </pt>
                <pt idx="8">
                  <v>140721.15</v>
                </pt>
                <pt idx="9">
                  <v>118362.03</v>
                </pt>
                <pt idx="10">
                  <v>134885.61</v>
                </pt>
                <pt idx="11">
                  <v>121244.88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'14 - 20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'14 - 20 June 2021'!$D$5:$D$19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June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2021'!$B$5:$B$19</f>
              <numCache>
                <formatCode>#,##0.00</formatCode>
                <ptCount val="13"/>
                <pt idx="0">
                  <v>172041.05</v>
                </pt>
                <pt idx="1">
                  <v>112438.92</v>
                </pt>
                <pt idx="2">
                  <v>93597.64</v>
                </pt>
                <pt idx="3">
                  <v>135128.66</v>
                </pt>
                <pt idx="4">
                  <v>0</v>
                </pt>
                <pt idx="5">
                  <v>198333.11</v>
                </pt>
                <pt idx="6">
                  <v>90987.89</v>
                </pt>
                <pt idx="7">
                  <v>152472.51</v>
                </pt>
                <pt idx="8">
                  <v>151189.84</v>
                </pt>
                <pt idx="9">
                  <v>104993.53</v>
                </pt>
                <pt idx="10">
                  <v>116056.04</v>
                </pt>
                <pt idx="11">
                  <v>134734.75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'21 - 27 June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June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'21 - 27 June 2021'!$D$5:$D$19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June - 4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2021'!$B$5:$B$19</f>
              <numCache>
                <formatCode>#,##0.00</formatCode>
                <ptCount val="13"/>
                <pt idx="0">
                  <v>132613.41</v>
                </pt>
                <pt idx="1">
                  <v>110299.53</v>
                </pt>
                <pt idx="2">
                  <v>88716.48</v>
                </pt>
                <pt idx="3">
                  <v>121954.48</v>
                </pt>
                <pt idx="4">
                  <v>0</v>
                </pt>
                <pt idx="5">
                  <v>177064.58</v>
                </pt>
                <pt idx="6">
                  <v>93610.00999999999</v>
                </pt>
                <pt idx="7">
                  <v>151392.86</v>
                </pt>
                <pt idx="8">
                  <v>108896.3</v>
                </pt>
                <pt idx="9">
                  <v>87193.5</v>
                </pt>
                <pt idx="10">
                  <v>114871.66</v>
                </pt>
                <pt idx="11">
                  <v>119981.91</v>
                </pt>
                <pt idx="12">
                  <v>0</v>
                </pt>
              </numCache>
            </numRef>
          </val>
        </ser>
        <ser>
          <idx val="3"/>
          <order val="1"/>
          <tx>
            <strRef>
              <f>'28 June - 4 July 2021'!$D$3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June - 4 July 2021'!$A$5:$A$19</f>
              <strCache>
                <ptCount val="13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  <pt idx="12">
                  <v>Centurion</v>
                </pt>
              </strCache>
            </strRef>
          </cat>
          <val>
            <numRef>
              <f>'28 June - 4 July 2021'!$D$5:$D$19</f>
              <numCache>
                <formatCode>#,##0.00</formatCode>
                <ptCount val="13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  <pt idx="1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'5 - 11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2021'!$B$5:$B$19</f>
              <numCache>
                <formatCode>#,##0.00</formatCode>
                <ptCount val="12"/>
                <pt idx="0">
                  <v>76505.17999999999</v>
                </pt>
                <pt idx="1">
                  <v>45573.7</v>
                </pt>
                <pt idx="2">
                  <v>61668.56</v>
                </pt>
                <pt idx="3">
                  <v>50431.71</v>
                </pt>
                <pt idx="4">
                  <v>38908.65</v>
                </pt>
                <pt idx="5">
                  <v>87544.53</v>
                </pt>
                <pt idx="6">
                  <v>49395.18</v>
                </pt>
                <pt idx="7">
                  <v>94163.55</v>
                </pt>
                <pt idx="8">
                  <v>34859.87</v>
                </pt>
                <pt idx="9">
                  <v>58655.79</v>
                </pt>
                <pt idx="10">
                  <v>63036.16</v>
                </pt>
                <pt idx="11">
                  <v>60926.38</v>
                </pt>
              </numCache>
            </numRef>
          </val>
        </ser>
        <ser>
          <idx val="3"/>
          <order val="1"/>
          <tx>
            <strRef>
              <f>'5 - 11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'5 - 11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'5 - 11 July 2021'!$E$5:$E$19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'12 - 18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2021'!$B$5:$B$19</f>
              <numCache>
                <formatCode>#,##0.00</formatCode>
                <ptCount val="12"/>
                <pt idx="0">
                  <v>67895.53</v>
                </pt>
                <pt idx="1">
                  <v>12625.24</v>
                </pt>
                <pt idx="2">
                  <v>49051.79</v>
                </pt>
                <pt idx="3">
                  <v>64927.23</v>
                </pt>
                <pt idx="4">
                  <v>56369.37</v>
                </pt>
                <pt idx="5">
                  <v>98911.55</v>
                </pt>
                <pt idx="6">
                  <v>45614.88</v>
                </pt>
                <pt idx="7">
                  <v>84170.91</v>
                </pt>
                <pt idx="8">
                  <v>53639.31</v>
                </pt>
                <pt idx="9">
                  <v>53928.76</v>
                </pt>
                <pt idx="10">
                  <v>67366.8</v>
                </pt>
                <pt idx="11">
                  <v>59032.42</v>
                </pt>
              </numCache>
            </numRef>
          </val>
        </ser>
        <ser>
          <idx val="3"/>
          <order val="1"/>
          <tx>
            <strRef>
              <f>'12 - 18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'12 - 18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'12 - 18 July 2021'!$E$5:$E$19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'19 - 25 July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2021'!$B$5:$B$19</f>
              <numCache>
                <formatCode>#,##0.00</formatCode>
                <ptCount val="12"/>
                <pt idx="0">
                  <v>104954.75</v>
                </pt>
                <pt idx="1">
                  <v>50825.27</v>
                </pt>
                <pt idx="2">
                  <v>60937.2</v>
                </pt>
                <pt idx="3">
                  <v>78861.78999999999</v>
                </pt>
                <pt idx="4">
                  <v>73055.39999999999</v>
                </pt>
                <pt idx="5">
                  <v>123729.06</v>
                </pt>
                <pt idx="6">
                  <v>59060.2</v>
                </pt>
                <pt idx="7">
                  <v>117167.6</v>
                </pt>
                <pt idx="8">
                  <v>108441.6</v>
                </pt>
                <pt idx="9">
                  <v>58555.33</v>
                </pt>
                <pt idx="10">
                  <v>67441.92</v>
                </pt>
                <pt idx="11">
                  <v>75582.53999999999</v>
                </pt>
              </numCache>
            </numRef>
          </val>
        </ser>
        <ser>
          <idx val="3"/>
          <order val="1"/>
          <tx>
            <strRef>
              <f>'19 - 25 July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'19 - 25 July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'19 - 25 July 2021'!$E$5:$E$19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July - 1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2021'!$B$5:$B$19</f>
              <numCache>
                <formatCode>#,##0.00</formatCode>
                <ptCount val="12"/>
                <pt idx="0">
                  <v>120487.58</v>
                </pt>
                <pt idx="1">
                  <v>65479.86</v>
                </pt>
                <pt idx="2">
                  <v>69384.67999999999</v>
                </pt>
                <pt idx="3">
                  <v>93343.71000000001</v>
                </pt>
                <pt idx="4">
                  <v>82429.22</v>
                </pt>
                <pt idx="5">
                  <v>144846.87</v>
                </pt>
                <pt idx="6">
                  <v>71162.13</v>
                </pt>
                <pt idx="7">
                  <v>130900.28</v>
                </pt>
                <pt idx="8">
                  <v>87330.55</v>
                </pt>
                <pt idx="9">
                  <v>76572.35000000001</v>
                </pt>
                <pt idx="10">
                  <v>77712.2</v>
                </pt>
                <pt idx="11">
                  <v>92850.36</v>
                </pt>
              </numCache>
            </numRef>
          </val>
        </ser>
        <ser>
          <idx val="3"/>
          <order val="1"/>
          <tx>
            <strRef>
              <f>'26 July - 1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July - 1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'26 July - 1 August 2021'!$E$5:$E$19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'2 - 8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2021'!$B$5:$B$19</f>
              <numCache>
                <formatCode>#,##0.00</formatCode>
                <ptCount val="12"/>
                <pt idx="0">
                  <v>176130.36</v>
                </pt>
                <pt idx="1">
                  <v>125875.45</v>
                </pt>
                <pt idx="2">
                  <v>108071.58</v>
                </pt>
                <pt idx="3">
                  <v>178233.72</v>
                </pt>
                <pt idx="4">
                  <v>108477.81</v>
                </pt>
                <pt idx="5">
                  <v>238834.43</v>
                </pt>
                <pt idx="6">
                  <v>100052.68</v>
                </pt>
                <pt idx="7">
                  <v>197544.45</v>
                </pt>
                <pt idx="8">
                  <v>116789.49</v>
                </pt>
                <pt idx="9">
                  <v>118177.43</v>
                </pt>
                <pt idx="10">
                  <v>140061.42</v>
                </pt>
                <pt idx="11">
                  <v>141804.13</v>
                </pt>
              </numCache>
            </numRef>
          </val>
        </ser>
        <ser>
          <idx val="3"/>
          <order val="1"/>
          <tx>
            <strRef>
              <f>'2 - 8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'2 - 8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'2 - 8 August 2021'!$E$5:$E$19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'9 - 15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2021'!$B$5:$B$19</f>
              <numCache>
                <formatCode>#,##0.00</formatCode>
                <ptCount val="12"/>
                <pt idx="0">
                  <v>172837.49</v>
                </pt>
                <pt idx="1">
                  <v>162250.41</v>
                </pt>
                <pt idx="2">
                  <v>109675.64</v>
                </pt>
                <pt idx="3">
                  <v>166512.56</v>
                </pt>
                <pt idx="4">
                  <v>117926</v>
                </pt>
                <pt idx="5">
                  <v>222857.07</v>
                </pt>
                <pt idx="6">
                  <v>102729.9</v>
                </pt>
                <pt idx="7">
                  <v>165697.49</v>
                </pt>
                <pt idx="8">
                  <v>153553.33</v>
                </pt>
                <pt idx="9">
                  <v>104945.28</v>
                </pt>
                <pt idx="10">
                  <v>132455.42</v>
                </pt>
                <pt idx="11">
                  <v>119669.17</v>
                </pt>
              </numCache>
            </numRef>
          </val>
        </ser>
        <ser>
          <idx val="3"/>
          <order val="1"/>
          <tx>
            <strRef>
              <f>'9 - 15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'9 - 15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'9 - 15 August 2021'!$E$5:$E$19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'16 - 22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2021'!$B$5:$B$19</f>
              <numCache>
                <formatCode>#,##0.00</formatCode>
                <ptCount val="12"/>
                <pt idx="0">
                  <v>183717.7</v>
                </pt>
                <pt idx="1">
                  <v>145245.69</v>
                </pt>
                <pt idx="2">
                  <v>107457.81</v>
                </pt>
                <pt idx="3">
                  <v>146042.81</v>
                </pt>
                <pt idx="4">
                  <v>122396.48</v>
                </pt>
                <pt idx="5">
                  <v>171775.88</v>
                </pt>
                <pt idx="6">
                  <v>100293.99</v>
                </pt>
                <pt idx="7">
                  <v>173155.22</v>
                </pt>
                <pt idx="8">
                  <v>131076.87</v>
                </pt>
                <pt idx="9">
                  <v>108865.93</v>
                </pt>
                <pt idx="10">
                  <v>152726.99</v>
                </pt>
                <pt idx="11">
                  <v>131997.35</v>
                </pt>
              </numCache>
            </numRef>
          </val>
        </ser>
        <ser>
          <idx val="3"/>
          <order val="1"/>
          <tx>
            <strRef>
              <f>'16 - 22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'16 - 22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'16 - 22 August 2021'!$E$5:$E$19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'23 - 29 August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2021'!$B$5:$B$19</f>
              <numCache>
                <formatCode>#,##0.00</formatCode>
                <ptCount val="12"/>
                <pt idx="0">
                  <v>159000.87</v>
                </pt>
                <pt idx="1">
                  <v>161964.35</v>
                </pt>
                <pt idx="2">
                  <v>123573.27</v>
                </pt>
                <pt idx="3">
                  <v>176608.28</v>
                </pt>
                <pt idx="4">
                  <v>123252.63</v>
                </pt>
                <pt idx="5">
                  <v>228766.7</v>
                </pt>
                <pt idx="6">
                  <v>88965.05</v>
                </pt>
                <pt idx="7">
                  <v>170345.73</v>
                </pt>
                <pt idx="8">
                  <v>144860.75</v>
                </pt>
                <pt idx="9">
                  <v>123771.25</v>
                </pt>
                <pt idx="10">
                  <v>149229.03</v>
                </pt>
                <pt idx="11">
                  <v>134165.04</v>
                </pt>
              </numCache>
            </numRef>
          </val>
        </ser>
        <ser>
          <idx val="3"/>
          <order val="1"/>
          <tx>
            <strRef>
              <f>'23 - 29 August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'23 - 29 August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'23 - 29 August 2021'!$E$5:$E$19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August - 5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2021'!$B$5:$B$19</f>
              <numCache>
                <formatCode>#,##0.00</formatCode>
                <ptCount val="12"/>
                <pt idx="0">
                  <v>182635.28</v>
                </pt>
                <pt idx="1">
                  <v>156293.04</v>
                </pt>
                <pt idx="2">
                  <v>112270.21</v>
                </pt>
                <pt idx="3">
                  <v>210003.64</v>
                </pt>
                <pt idx="4">
                  <v>141625.92</v>
                </pt>
                <pt idx="5">
                  <v>248736.18</v>
                </pt>
                <pt idx="6">
                  <v>107488.05</v>
                </pt>
                <pt idx="7">
                  <v>200623.02</v>
                </pt>
                <pt idx="8">
                  <v>139227.05</v>
                </pt>
                <pt idx="9">
                  <v>119149.06</v>
                </pt>
                <pt idx="10">
                  <v>164986.63</v>
                </pt>
                <pt idx="11">
                  <v>151341.9</v>
                </pt>
              </numCache>
            </numRef>
          </val>
        </ser>
        <ser>
          <idx val="3"/>
          <order val="1"/>
          <tx>
            <strRef>
              <f>'30 August - 5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August - 5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'30 August - 5 Sept 2021'!$E$5:$E$19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9602194683665525"/>
          <y val="0.000340855044126195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2021'!$B$5:$B$19</f>
              <numCache>
                <formatCode>#,##0.00</formatCode>
                <ptCount val="12"/>
                <pt idx="0">
                  <v>191939.76</v>
                </pt>
                <pt idx="1">
                  <v>201746.45</v>
                </pt>
                <pt idx="2">
                  <v>110116.65</v>
                </pt>
                <pt idx="3">
                  <v>206523.85</v>
                </pt>
                <pt idx="4">
                  <v>141777.65</v>
                </pt>
                <pt idx="5">
                  <v>237125.78</v>
                </pt>
                <pt idx="6">
                  <v>109444.49</v>
                </pt>
                <pt idx="7">
                  <v>180434.4</v>
                </pt>
                <pt idx="8">
                  <v>162189.08</v>
                </pt>
                <pt idx="9">
                  <v>131562.69</v>
                </pt>
                <pt idx="10">
                  <v>180862.94</v>
                </pt>
                <pt idx="11">
                  <v>144403.3</v>
                </pt>
              </numCache>
            </numRef>
          </val>
        </ser>
        <ser>
          <idx val="3"/>
          <order val="1"/>
          <tx>
            <strRef>
              <f>'6 - 12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Sept 2021'!$E$5:$E$19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2021'!$B$5:$B$19</f>
              <numCache>
                <formatCode>#,##0.00</formatCode>
                <ptCount val="12"/>
                <pt idx="0">
                  <v>190960.44</v>
                </pt>
                <pt idx="1">
                  <v>169362.77</v>
                </pt>
                <pt idx="2">
                  <v>103027.19</v>
                </pt>
                <pt idx="3">
                  <v>191574.23</v>
                </pt>
                <pt idx="4">
                  <v>115490.13</v>
                </pt>
                <pt idx="5">
                  <v>224233.88</v>
                </pt>
                <pt idx="6">
                  <v>98117.72</v>
                </pt>
                <pt idx="7">
                  <v>165850.01</v>
                </pt>
                <pt idx="8">
                  <v>135359.28</v>
                </pt>
                <pt idx="9">
                  <v>120334.53</v>
                </pt>
                <pt idx="10">
                  <v>154135.11</v>
                </pt>
                <pt idx="11">
                  <v>146675.66</v>
                </pt>
              </numCache>
            </numRef>
          </val>
        </ser>
        <ser>
          <idx val="3"/>
          <order val="1"/>
          <tx>
            <strRef>
              <f>'13 - 19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Sept 2021'!$E$5:$E$19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Sept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2021'!$B$5:$B$19</f>
              <numCache>
                <formatCode>#,##0.00</formatCode>
                <ptCount val="12"/>
                <pt idx="0">
                  <v>175928.66</v>
                </pt>
                <pt idx="1">
                  <v>177196.01</v>
                </pt>
                <pt idx="2">
                  <v>110851.92</v>
                </pt>
                <pt idx="3">
                  <v>203402.98</v>
                </pt>
                <pt idx="4">
                  <v>123051.74</v>
                </pt>
                <pt idx="5">
                  <v>234988.31</v>
                </pt>
                <pt idx="6">
                  <v>105029.58</v>
                </pt>
                <pt idx="7">
                  <v>173022.38</v>
                </pt>
                <pt idx="8">
                  <v>159561.32</v>
                </pt>
                <pt idx="9">
                  <v>129555.26</v>
                </pt>
                <pt idx="10">
                  <v>178660.19</v>
                </pt>
                <pt idx="11">
                  <v>148575.59</v>
                </pt>
              </numCache>
            </numRef>
          </val>
        </ser>
        <ser>
          <idx val="3"/>
          <order val="1"/>
          <tx>
            <strRef>
              <f>'20 - 26 Sept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Sept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Sept 2021'!$E$5:$E$19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Sept - 3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2021'!$B$5:$B$19</f>
              <numCache>
                <formatCode>#,##0.00</formatCode>
                <ptCount val="12"/>
                <pt idx="0">
                  <v>197034.69</v>
                </pt>
                <pt idx="1">
                  <v>175937.8</v>
                </pt>
                <pt idx="2">
                  <v>116334.7</v>
                </pt>
                <pt idx="3">
                  <v>250317.29</v>
                </pt>
                <pt idx="4">
                  <v>119605.31</v>
                </pt>
                <pt idx="5">
                  <v>225388.91</v>
                </pt>
                <pt idx="6">
                  <v>100609.06</v>
                </pt>
                <pt idx="7">
                  <v>171278.52</v>
                </pt>
                <pt idx="8">
                  <v>232193.16</v>
                </pt>
                <pt idx="9">
                  <v>145486.31</v>
                </pt>
                <pt idx="10">
                  <v>181897.73</v>
                </pt>
                <pt idx="11">
                  <v>148055.02</v>
                </pt>
              </numCache>
            </numRef>
          </val>
        </ser>
        <ser>
          <idx val="3"/>
          <order val="1"/>
          <tx>
            <strRef>
              <f>'27 Sept - 3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Sept - 3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Sept - 3 Oct 2021'!$E$5:$E$19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'4 - 10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2021'!$B$5:$B$19</f>
              <numCache>
                <formatCode>#,##0.00</formatCode>
                <ptCount val="12"/>
                <pt idx="0">
                  <v>222289.96</v>
                </pt>
                <pt idx="1">
                  <v>195010.91</v>
                </pt>
                <pt idx="2">
                  <v>130942.05</v>
                </pt>
                <pt idx="3">
                  <v>238057.19</v>
                </pt>
                <pt idx="4">
                  <v>135563.96</v>
                </pt>
                <pt idx="5">
                  <v>241827.03</v>
                </pt>
                <pt idx="6">
                  <v>132018.34</v>
                </pt>
                <pt idx="7">
                  <v>196532.85</v>
                </pt>
                <pt idx="8">
                  <v>217130.21</v>
                </pt>
                <pt idx="9">
                  <v>142521.04</v>
                </pt>
                <pt idx="10">
                  <v>177000.68</v>
                </pt>
                <pt idx="11">
                  <v>174402.94</v>
                </pt>
              </numCache>
            </numRef>
          </val>
        </ser>
        <ser>
          <idx val="3"/>
          <order val="1"/>
          <tx>
            <strRef>
              <f>'4 - 10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'4 - 10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'4 - 10 Oct 2021'!$E$5:$E$19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'11 - 17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2021'!$B$5:$B$19</f>
              <numCache>
                <formatCode>#,##0.00</formatCode>
                <ptCount val="12"/>
                <pt idx="0">
                  <v>239454.65</v>
                </pt>
                <pt idx="1">
                  <v>186940.81</v>
                </pt>
                <pt idx="2">
                  <v>119671.55</v>
                </pt>
                <pt idx="3">
                  <v>236575.6</v>
                </pt>
                <pt idx="4">
                  <v>147008.96</v>
                </pt>
                <pt idx="5">
                  <v>266901.91</v>
                </pt>
                <pt idx="6">
                  <v>115856.57</v>
                </pt>
                <pt idx="7">
                  <v>185099.2</v>
                </pt>
                <pt idx="8">
                  <v>294560.02</v>
                </pt>
                <pt idx="9">
                  <v>154455.85</v>
                </pt>
                <pt idx="10">
                  <v>181127.08</v>
                </pt>
                <pt idx="11">
                  <v>151769.5</v>
                </pt>
              </numCache>
            </numRef>
          </val>
        </ser>
        <ser>
          <idx val="3"/>
          <order val="1"/>
          <tx>
            <strRef>
              <f>'11 - 17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'11 - 17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'11 - 17 Oct 2021'!$E$5:$E$19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'18 - 24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2021'!$B$5:$B$19</f>
              <numCache>
                <formatCode>#,##0.00</formatCode>
                <ptCount val="12"/>
                <pt idx="0">
                  <v>210772.29</v>
                </pt>
                <pt idx="1">
                  <v>168351.72</v>
                </pt>
                <pt idx="2">
                  <v>123446.2</v>
                </pt>
                <pt idx="3">
                  <v>197865.6</v>
                </pt>
                <pt idx="4">
                  <v>139222.35</v>
                </pt>
                <pt idx="5">
                  <v>235839.13</v>
                </pt>
                <pt idx="6">
                  <v>109318.99</v>
                </pt>
                <pt idx="7">
                  <v>184530.42</v>
                </pt>
                <pt idx="8">
                  <v>172063.63</v>
                </pt>
                <pt idx="9">
                  <v>153694.29</v>
                </pt>
                <pt idx="10">
                  <v>180670.32</v>
                </pt>
                <pt idx="11">
                  <v>150727.65</v>
                </pt>
              </numCache>
            </numRef>
          </val>
        </ser>
        <ser>
          <idx val="3"/>
          <order val="1"/>
          <tx>
            <strRef>
              <f>'18 - 24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'18 - 24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'18 - 24 Oct 2021'!$E$5:$E$19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'25 - 31 Oct 2021'!$B$3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2021'!$B$5:$B$19</f>
              <numCache>
                <formatCode>#,##0.00</formatCode>
                <ptCount val="12"/>
                <pt idx="0">
                  <v>202623.52</v>
                </pt>
                <pt idx="1">
                  <v>214773.59</v>
                </pt>
                <pt idx="2">
                  <v>127214.41</v>
                </pt>
                <pt idx="3">
                  <v>169425.82</v>
                </pt>
                <pt idx="4">
                  <v>133813.39</v>
                </pt>
                <pt idx="5">
                  <v>233857.32</v>
                </pt>
                <pt idx="6">
                  <v>100278.77</v>
                </pt>
                <pt idx="7">
                  <v>206050.19</v>
                </pt>
                <pt idx="8">
                  <v>163321.62</v>
                </pt>
                <pt idx="9">
                  <v>142695.09</v>
                </pt>
                <pt idx="10">
                  <v>194587.65</v>
                </pt>
                <pt idx="11">
                  <v>164997.15</v>
                </pt>
              </numCache>
            </numRef>
          </val>
        </ser>
        <ser>
          <idx val="3"/>
          <order val="1"/>
          <tx>
            <strRef>
              <f>'25 - 31 Oct 2021'!$E$3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'25 - 31 Oct 2021'!$A$5:$A$19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'25 - 31 Oct 2021'!$E$5:$E$19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'1 - 7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Nov'!$B$5:$B$19</f>
              <numCache>
                <formatCode>#,##0.00</formatCode>
                <ptCount val="12"/>
                <pt idx="0">
                  <v>239634.11</v>
                </pt>
                <pt idx="1">
                  <v>202838.8</v>
                </pt>
                <pt idx="2">
                  <v>150231.94</v>
                </pt>
                <pt idx="3">
                  <v>223260.66</v>
                </pt>
                <pt idx="4">
                  <v>173613.53</v>
                </pt>
                <pt idx="5">
                  <v>237797.15</v>
                </pt>
                <pt idx="6">
                  <v>136276.05</v>
                </pt>
                <pt idx="7">
                  <v>193734.78</v>
                </pt>
                <pt idx="8">
                  <v>176192.07</v>
                </pt>
                <pt idx="9">
                  <v>155405.21</v>
                </pt>
                <pt idx="10">
                  <v>193364.19</v>
                </pt>
                <pt idx="11">
                  <v>182521.14</v>
                </pt>
              </numCache>
            </numRef>
          </val>
        </ser>
        <ser>
          <idx val="3"/>
          <order val="1"/>
          <tx>
            <strRef>
              <f>'1 - 7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'1 - 7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'1 - 7 Nov'!$E$5:$E$19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'8 - 14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Nov'!$B$5:$B$19</f>
              <numCache>
                <formatCode>#,##0.00</formatCode>
                <ptCount val="12"/>
                <pt idx="0">
                  <v>220251.26</v>
                </pt>
                <pt idx="1">
                  <v>208284.54</v>
                </pt>
                <pt idx="2">
                  <v>132640.11</v>
                </pt>
                <pt idx="3">
                  <v>0</v>
                </pt>
                <pt idx="4">
                  <v>147310.94</v>
                </pt>
                <pt idx="5">
                  <v>243978.34</v>
                </pt>
                <pt idx="6">
                  <v>118764.14</v>
                </pt>
                <pt idx="7">
                  <v>192441.7</v>
                </pt>
                <pt idx="8">
                  <v>170291.99</v>
                </pt>
                <pt idx="9">
                  <v>138958.96</v>
                </pt>
                <pt idx="10">
                  <v>193925.84</v>
                </pt>
                <pt idx="11">
                  <v>186189.33</v>
                </pt>
              </numCache>
            </numRef>
          </val>
        </ser>
        <ser>
          <idx val="3"/>
          <order val="1"/>
          <tx>
            <strRef>
              <f>'8 - 14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'8 - 14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'8 - 14 Nov'!$E$5:$E$19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'15 - 21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Nov'!$B$5:$B$19</f>
              <numCache>
                <formatCode>#,##0.00</formatCode>
                <ptCount val="12"/>
                <pt idx="0">
                  <v>193086.26</v>
                </pt>
                <pt idx="1">
                  <v>245963.82</v>
                </pt>
                <pt idx="2">
                  <v>118190.42</v>
                </pt>
                <pt idx="3">
                  <v>0</v>
                </pt>
                <pt idx="4">
                  <v>149959.23</v>
                </pt>
                <pt idx="5">
                  <v>220256.34</v>
                </pt>
                <pt idx="6">
                  <v>117466.88</v>
                </pt>
                <pt idx="7">
                  <v>194468.69</v>
                </pt>
                <pt idx="8">
                  <v>182462.52</v>
                </pt>
                <pt idx="9">
                  <v>144976.69</v>
                </pt>
                <pt idx="10">
                  <v>195032.18</v>
                </pt>
                <pt idx="11">
                  <v>164901.42</v>
                </pt>
              </numCache>
            </numRef>
          </val>
        </ser>
        <ser>
          <idx val="3"/>
          <order val="1"/>
          <tx>
            <strRef>
              <f>'15 - 21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'15 - 21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'15 - 21 Nov'!$E$5:$E$19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'22 - 28 Nov'!$B$3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Nov'!$B$5:$B$19</f>
              <numCache>
                <formatCode>#,##0.00</formatCode>
                <ptCount val="12"/>
                <pt idx="0">
                  <v>212158.9</v>
                </pt>
                <pt idx="1">
                  <v>243787.69</v>
                </pt>
                <pt idx="2">
                  <v>125078.1</v>
                </pt>
                <pt idx="3">
                  <v>0</v>
                </pt>
                <pt idx="4">
                  <v>155534.25</v>
                </pt>
                <pt idx="5">
                  <v>235541.57</v>
                </pt>
                <pt idx="6">
                  <v>113656.36</v>
                </pt>
                <pt idx="7">
                  <v>191383.89</v>
                </pt>
                <pt idx="8">
                  <v>183104.61</v>
                </pt>
                <pt idx="9">
                  <v>128705.38</v>
                </pt>
                <pt idx="10">
                  <v>199114.42</v>
                </pt>
                <pt idx="11">
                  <v>152715.91</v>
                </pt>
              </numCache>
            </numRef>
          </val>
        </ser>
        <ser>
          <idx val="3"/>
          <order val="1"/>
          <tx>
            <strRef>
              <f>'22 - 28 Nov'!$E$3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'22 - 28 Nov'!$A$5:$A$19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'22 - 28 Nov'!$E$5:$E$19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Nov - 5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Dec'!$B$5:$B$19</f>
              <numCache>
                <formatCode>#,##0.00</formatCode>
                <ptCount val="12"/>
                <pt idx="0">
                  <v>224536.32</v>
                </pt>
                <pt idx="1">
                  <v>275338.65</v>
                </pt>
                <pt idx="2">
                  <v>122785.28</v>
                </pt>
                <pt idx="3">
                  <v>0</v>
                </pt>
                <pt idx="4">
                  <v>167295.86</v>
                </pt>
                <pt idx="5">
                  <v>249927.98</v>
                </pt>
                <pt idx="6">
                  <v>131103.3</v>
                </pt>
                <pt idx="7">
                  <v>230348.64</v>
                </pt>
                <pt idx="8">
                  <v>174615.21</v>
                </pt>
                <pt idx="9">
                  <v>159324.35</v>
                </pt>
                <pt idx="10">
                  <v>227511.31</v>
                </pt>
                <pt idx="11">
                  <v>180473.33</v>
                </pt>
              </numCache>
            </numRef>
          </val>
        </ser>
        <ser>
          <idx val="3"/>
          <order val="1"/>
          <tx>
            <strRef>
              <f>'29 Nov - 5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Nov - 5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'29 Nov - 5 Dec'!$E$5:$E$19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'6 - 12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Dec'!$B$5:$B$19</f>
              <numCache>
                <formatCode>#,##0.00</formatCode>
                <ptCount val="12"/>
                <pt idx="0">
                  <v>249569.36</v>
                </pt>
                <pt idx="1">
                  <v>311887.54</v>
                </pt>
                <pt idx="2">
                  <v>142037.23</v>
                </pt>
                <pt idx="3">
                  <v>0</v>
                </pt>
                <pt idx="4">
                  <v>150479.33</v>
                </pt>
                <pt idx="5">
                  <v>276171.59</v>
                </pt>
                <pt idx="6">
                  <v>143967.6</v>
                </pt>
                <pt idx="7">
                  <v>214680.88</v>
                </pt>
                <pt idx="8">
                  <v>215508.03</v>
                </pt>
                <pt idx="9">
                  <v>155549.5</v>
                </pt>
                <pt idx="10">
                  <v>170425.3</v>
                </pt>
                <pt idx="11">
                  <v>171537.9</v>
                </pt>
              </numCache>
            </numRef>
          </val>
        </ser>
        <ser>
          <idx val="3"/>
          <order val="1"/>
          <tx>
            <strRef>
              <f>'6 - 12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'6 - 12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'6 - 12 Dec'!$E$5:$E$19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'13 - 19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Dec'!$B$5:$B$19</f>
              <numCache>
                <formatCode>#,##0.00</formatCode>
                <ptCount val="12"/>
                <pt idx="0">
                  <v>221100.21</v>
                </pt>
                <pt idx="1">
                  <v>341822.34</v>
                </pt>
                <pt idx="2">
                  <v>128162.21</v>
                </pt>
                <pt idx="3">
                  <v>0</v>
                </pt>
                <pt idx="4">
                  <v>174496.27</v>
                </pt>
                <pt idx="5">
                  <v>253424.14</v>
                </pt>
                <pt idx="6">
                  <v>122087.36</v>
                </pt>
                <pt idx="7">
                  <v>207065.35</v>
                </pt>
                <pt idx="8">
                  <v>324926.32</v>
                </pt>
                <pt idx="9">
                  <v>129659.6</v>
                </pt>
                <pt idx="10">
                  <v>167187.51</v>
                </pt>
                <pt idx="11">
                  <v>182335.29</v>
                </pt>
              </numCache>
            </numRef>
          </val>
        </ser>
        <ser>
          <idx val="3"/>
          <order val="1"/>
          <tx>
            <strRef>
              <f>'13 - 19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'13 - 19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'13 - 19 Dec'!$E$5:$E$19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'20 - 26 Dec'!$B$3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Dec'!$B$5:$B$19</f>
              <numCache>
                <formatCode>#,##0.00</formatCode>
                <ptCount val="12"/>
                <pt idx="0">
                  <v>247695.9</v>
                </pt>
                <pt idx="1">
                  <v>416851.52</v>
                </pt>
                <pt idx="2">
                  <v>128373.96</v>
                </pt>
                <pt idx="3">
                  <v>0</v>
                </pt>
                <pt idx="4">
                  <v>150716.72</v>
                </pt>
                <pt idx="5">
                  <v>234819.58</v>
                </pt>
                <pt idx="6">
                  <v>124306.15</v>
                </pt>
                <pt idx="7">
                  <v>192364.64</v>
                </pt>
                <pt idx="8">
                  <v>547738.16</v>
                </pt>
                <pt idx="9">
                  <v>138069.95</v>
                </pt>
                <pt idx="10">
                  <v>169389.41</v>
                </pt>
                <pt idx="11">
                  <v>170896.01</v>
                </pt>
              </numCache>
            </numRef>
          </val>
        </ser>
        <ser>
          <idx val="3"/>
          <order val="1"/>
          <tx>
            <strRef>
              <f>'20 - 26 Dec'!$E$3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'20 - 26 Dec'!$A$5:$A$19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'20 - 26 Dec'!$E$5:$E$19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Dec - 2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2022'!$B$5:$B$19</f>
              <numCache>
                <formatCode>#,##0.00</formatCode>
                <ptCount val="12"/>
                <pt idx="0">
                  <v>198665.22</v>
                </pt>
                <pt idx="1">
                  <v>355451.46</v>
                </pt>
                <pt idx="2">
                  <v>101312.03</v>
                </pt>
                <pt idx="3">
                  <v>0</v>
                </pt>
                <pt idx="4">
                  <v>105459.75</v>
                </pt>
                <pt idx="5">
                  <v>181752.95</v>
                </pt>
                <pt idx="6">
                  <v>92137.78</v>
                </pt>
                <pt idx="7">
                  <v>131166</v>
                </pt>
                <pt idx="8">
                  <v>823747.6800000001</v>
                </pt>
                <pt idx="9">
                  <v>113375.82</v>
                </pt>
                <pt idx="10">
                  <v>133738.32</v>
                </pt>
                <pt idx="11">
                  <v>111902.84</v>
                </pt>
              </numCache>
            </numRef>
          </val>
        </ser>
        <ser>
          <idx val="3"/>
          <order val="1"/>
          <tx>
            <strRef>
              <f>'27 Dec - 2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Dec - 2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'27 Dec - 2 Jan 2022'!$E$5:$E$19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'3 - 9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2022'!$B$5:$B$19</f>
              <numCache>
                <formatCode>#,##0.00</formatCode>
                <ptCount val="12"/>
                <pt idx="0">
                  <v>212769.56</v>
                </pt>
                <pt idx="1">
                  <v>294055.23</v>
                </pt>
                <pt idx="2">
                  <v>92659.32000000001</v>
                </pt>
                <pt idx="3">
                  <v>0</v>
                </pt>
                <pt idx="4">
                  <v>146695.37</v>
                </pt>
                <pt idx="5">
                  <v>169474.37</v>
                </pt>
                <pt idx="6">
                  <v>118160.63</v>
                </pt>
                <pt idx="7">
                  <v>159471.69</v>
                </pt>
                <pt idx="8">
                  <v>1157280.81</v>
                </pt>
                <pt idx="9">
                  <v>117099.44</v>
                </pt>
                <pt idx="10">
                  <v>143974.76</v>
                </pt>
                <pt idx="11">
                  <v>148687.25</v>
                </pt>
              </numCache>
            </numRef>
          </val>
        </ser>
        <ser>
          <idx val="3"/>
          <order val="1"/>
          <tx>
            <strRef>
              <f>'3 - 9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'3 - 9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'3 - 9 Jan 2022'!$E$5:$E$19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'10 - 16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2022'!$B$5:$B$19</f>
              <numCache>
                <formatCode>#,##0.00</formatCode>
                <ptCount val="12"/>
                <pt idx="0">
                  <v>269770.01</v>
                </pt>
                <pt idx="1">
                  <v>219749.59</v>
                </pt>
                <pt idx="2">
                  <v>118823.03</v>
                </pt>
                <pt idx="3">
                  <v>0</v>
                </pt>
                <pt idx="4">
                  <v>133729.15</v>
                </pt>
                <pt idx="5">
                  <v>233137.87</v>
                </pt>
                <pt idx="6">
                  <v>116710.34</v>
                </pt>
                <pt idx="7">
                  <v>194743.68</v>
                </pt>
                <pt idx="8">
                  <v>721790.35</v>
                </pt>
                <pt idx="9">
                  <v>135626.71</v>
                </pt>
                <pt idx="10">
                  <v>150418.67</v>
                </pt>
                <pt idx="11">
                  <v>151507.38</v>
                </pt>
              </numCache>
            </numRef>
          </val>
        </ser>
        <ser>
          <idx val="3"/>
          <order val="1"/>
          <tx>
            <strRef>
              <f>'10 - 16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'10 - 16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'10 - 16 Jan 2022'!$E$5:$E$19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'17 - 23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2022'!$B$5:$B$19</f>
              <numCache>
                <formatCode>#,##0.00</formatCode>
                <ptCount val="12"/>
                <pt idx="0">
                  <v>215802.15</v>
                </pt>
                <pt idx="1">
                  <v>181705.05</v>
                </pt>
                <pt idx="2">
                  <v>121229.64</v>
                </pt>
                <pt idx="3">
                  <v>0</v>
                </pt>
                <pt idx="4">
                  <v>143258.26</v>
                </pt>
                <pt idx="5">
                  <v>224244.36</v>
                </pt>
                <pt idx="6">
                  <v>120604.29</v>
                </pt>
                <pt idx="7">
                  <v>200323.25</v>
                </pt>
                <pt idx="8">
                  <v>341457.44</v>
                </pt>
                <pt idx="9">
                  <v>119757.44</v>
                </pt>
                <pt idx="10">
                  <v>151945.85</v>
                </pt>
                <pt idx="11">
                  <v>159101.62</v>
                </pt>
              </numCache>
            </numRef>
          </val>
        </ser>
        <ser>
          <idx val="3"/>
          <order val="1"/>
          <tx>
            <strRef>
              <f>'17 - 23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'17 - 23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'17 - 23 Jan 2022'!$E$5:$E$19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7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'24 - 30 Jan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2022'!$B$5:$B$19</f>
              <numCache>
                <formatCode>#,##0.00</formatCode>
                <ptCount val="12"/>
                <pt idx="0">
                  <v>214627.76</v>
                </pt>
                <pt idx="1">
                  <v>180915.8</v>
                </pt>
                <pt idx="2">
                  <v>112994.77</v>
                </pt>
                <pt idx="3">
                  <v>0</v>
                </pt>
                <pt idx="4">
                  <v>136016.39</v>
                </pt>
                <pt idx="5">
                  <v>228306.74</v>
                </pt>
                <pt idx="6">
                  <v>101802.88</v>
                </pt>
                <pt idx="7">
                  <v>187513.18</v>
                </pt>
                <pt idx="8">
                  <v>255303.8</v>
                </pt>
                <pt idx="9">
                  <v>128284.99</v>
                </pt>
                <pt idx="10">
                  <v>159089.55</v>
                </pt>
                <pt idx="11">
                  <v>149114.31</v>
                </pt>
              </numCache>
            </numRef>
          </val>
        </ser>
        <ser>
          <idx val="3"/>
          <order val="1"/>
          <tx>
            <strRef>
              <f>'24 - 30 Jan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'24 - 30 Jan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'24 - 30 Jan 2022'!$E$5:$E$19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Jan - 6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2022'!$B$5:$B$19</f>
              <numCache>
                <formatCode>#,##0.00</formatCode>
                <ptCount val="12"/>
                <pt idx="0">
                  <v>219896.15</v>
                </pt>
                <pt idx="1">
                  <v>219465.41</v>
                </pt>
                <pt idx="2">
                  <v>115980.35</v>
                </pt>
                <pt idx="3">
                  <v>0</v>
                </pt>
                <pt idx="4">
                  <v>177078.57</v>
                </pt>
                <pt idx="5">
                  <v>251779.71</v>
                </pt>
                <pt idx="6">
                  <v>148338.9</v>
                </pt>
                <pt idx="7">
                  <v>227518.52</v>
                </pt>
                <pt idx="8">
                  <v>240544.36</v>
                </pt>
                <pt idx="9">
                  <v>144588.24</v>
                </pt>
                <pt idx="10">
                  <v>184402.37</v>
                </pt>
                <pt idx="11">
                  <v>166446.76</v>
                </pt>
              </numCache>
            </numRef>
          </val>
        </ser>
        <ser>
          <idx val="3"/>
          <order val="1"/>
          <tx>
            <strRef>
              <f>'31 Jan - 6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Jan - 6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'31 Jan - 6 Feb 2022'!$E$5:$E$19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'7 - 13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2022'!$B$5:$B$19</f>
              <numCache>
                <formatCode>#,##0.00</formatCode>
                <ptCount val="12"/>
                <pt idx="0">
                  <v>238606.29</v>
                </pt>
                <pt idx="1">
                  <v>219199.77</v>
                </pt>
                <pt idx="2">
                  <v>108709.21</v>
                </pt>
                <pt idx="3">
                  <v>0</v>
                </pt>
                <pt idx="4">
                  <v>166802.73</v>
                </pt>
                <pt idx="5">
                  <v>216181.06</v>
                </pt>
                <pt idx="6">
                  <v>141844.61</v>
                </pt>
                <pt idx="7">
                  <v>215241.73</v>
                </pt>
                <pt idx="8">
                  <v>243672.85</v>
                </pt>
                <pt idx="9">
                  <v>132179.39</v>
                </pt>
                <pt idx="10">
                  <v>192804.32</v>
                </pt>
                <pt idx="11">
                  <v>183194.06</v>
                </pt>
              </numCache>
            </numRef>
          </val>
        </ser>
        <ser>
          <idx val="3"/>
          <order val="1"/>
          <tx>
            <strRef>
              <f>'7 - 13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'7 - 13 Feb 2022'!$A$5:$A$19</f>
              <strCache>
                <ptCount val="12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>Rosebank</v>
                </pt>
                <pt idx="4">
                  <v xml:space="preserve">Waterkloof </v>
                </pt>
                <pt idx="5">
                  <v>Eagles Landing</v>
                </pt>
                <pt idx="6">
                  <v>Stellenbosch</v>
                </pt>
                <pt idx="7">
                  <v>Lynnwood</v>
                </pt>
                <pt idx="8">
                  <v>Hartenbos</v>
                </pt>
                <pt idx="9">
                  <v>Kyalami Corner</v>
                </pt>
                <pt idx="10">
                  <v>Paulshof</v>
                </pt>
                <pt idx="11">
                  <v>Queenswood</v>
                </pt>
              </strCache>
            </strRef>
          </cat>
          <val>
            <numRef>
              <f>'7 - 13 Feb 2022'!$E$5:$E$19</f>
              <numCache>
                <formatCode>#,##0.00</formatCode>
                <ptCount val="12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0</v>
                </pt>
                <pt idx="4">
                  <v>150013.85</v>
                </pt>
                <pt idx="5">
                  <v>194781.6</v>
                </pt>
                <pt idx="6">
                  <v>130813.15</v>
                </pt>
                <pt idx="7">
                  <v>192037.69</v>
                </pt>
                <pt idx="8">
                  <v>259704.01</v>
                </pt>
                <pt idx="9">
                  <v>137113.72</v>
                </pt>
                <pt idx="10">
                  <v>171421.97</v>
                </pt>
                <pt idx="11">
                  <v>176783.81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'14 - 20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2022'!$B$5:$B$19</f>
              <numCache>
                <formatCode>#,##0.00</formatCode>
                <ptCount val="11"/>
                <pt idx="0">
                  <v>208482.78</v>
                </pt>
                <pt idx="1">
                  <v>207551.54</v>
                </pt>
                <pt idx="2">
                  <v>124702.84</v>
                </pt>
                <pt idx="3">
                  <v>150013.85</v>
                </pt>
                <pt idx="4">
                  <v>194781.6</v>
                </pt>
                <pt idx="5">
                  <v>130813.15</v>
                </pt>
                <pt idx="6">
                  <v>192037.69</v>
                </pt>
                <pt idx="7">
                  <v>259704.01</v>
                </pt>
                <pt idx="8">
                  <v>137113.72</v>
                </pt>
                <pt idx="9">
                  <v>171421.97</v>
                </pt>
                <pt idx="10">
                  <v>176783.81</v>
                </pt>
              </numCache>
            </numRef>
          </val>
        </ser>
        <ser>
          <idx val="3"/>
          <order val="1"/>
          <tx>
            <strRef>
              <f>'14 - 20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'14 - 20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'14 - 20 Feb 2022'!$E$5:$E$19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'21 - 27 Feb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2022'!$B$5:$B$19</f>
              <numCache>
                <formatCode>#,##0.00</formatCode>
                <ptCount val="11"/>
                <pt idx="0">
                  <v>253875.9739130435</v>
                </pt>
                <pt idx="1">
                  <v>238583.5826086957</v>
                </pt>
                <pt idx="2">
                  <v>126222.6782608696</v>
                </pt>
                <pt idx="3">
                  <v>184217.4608695652</v>
                </pt>
                <pt idx="4">
                  <v>230889.7739130435</v>
                </pt>
                <pt idx="5">
                  <v>133779.5217391305</v>
                </pt>
                <pt idx="6">
                  <v>222605.4782608696</v>
                </pt>
                <pt idx="7">
                  <v>257898</v>
                </pt>
                <pt idx="8">
                  <v>142871.2434782609</v>
                </pt>
                <pt idx="9">
                  <v>170930.7304347826</v>
                </pt>
                <pt idx="10">
                  <v>179012.7652173913</v>
                </pt>
              </numCache>
            </numRef>
          </val>
        </ser>
        <ser>
          <idx val="3"/>
          <order val="1"/>
          <tx>
            <strRef>
              <f>'21 - 27 Feb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'21 - 27 Feb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'21 - 27 Feb 2022'!$E$5:$E$19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Feb - 6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2022'!$B$5:$B$19</f>
              <numCache>
                <formatCode>#,##0.00</formatCode>
                <ptCount val="11"/>
                <pt idx="0">
                  <v>239048.72</v>
                </pt>
                <pt idx="1">
                  <v>243180.16</v>
                </pt>
                <pt idx="2">
                  <v>135782.1</v>
                </pt>
                <pt idx="3">
                  <v>146542.06</v>
                </pt>
                <pt idx="4">
                  <v>232444.11</v>
                </pt>
                <pt idx="5">
                  <v>131242.27</v>
                </pt>
                <pt idx="6">
                  <v>220664.45</v>
                </pt>
                <pt idx="7">
                  <v>243303.6</v>
                </pt>
                <pt idx="8">
                  <v>152682.18</v>
                </pt>
                <pt idx="9">
                  <v>205896.16</v>
                </pt>
                <pt idx="10">
                  <v>158701.21</v>
                </pt>
              </numCache>
            </numRef>
          </val>
        </ser>
        <ser>
          <idx val="3"/>
          <order val="1"/>
          <tx>
            <strRef>
              <f>'28 Feb - 6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Feb - 6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Feb - 6 March 2022'!$E$5:$E$19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'7 March - 13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2022'!$B$5:$B$19</f>
              <numCache>
                <formatCode>#,##0.00</formatCode>
                <ptCount val="11"/>
                <pt idx="0">
                  <v>218365.71</v>
                </pt>
                <pt idx="1">
                  <v>205166.89</v>
                </pt>
                <pt idx="2">
                  <v>144923.59</v>
                </pt>
                <pt idx="3">
                  <v>158186.46</v>
                </pt>
                <pt idx="4">
                  <v>224089.43</v>
                </pt>
                <pt idx="5">
                  <v>130082.37</v>
                </pt>
                <pt idx="6">
                  <v>228031.91</v>
                </pt>
                <pt idx="7">
                  <v>241742.72</v>
                </pt>
                <pt idx="8">
                  <v>145092.71</v>
                </pt>
                <pt idx="9">
                  <v>181925.54</v>
                </pt>
                <pt idx="10">
                  <v>156833.12</v>
                </pt>
              </numCache>
            </numRef>
          </val>
        </ser>
        <ser>
          <idx val="3"/>
          <order val="1"/>
          <tx>
            <strRef>
              <f>'7 March - 13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'7 March - 13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'7 March - 13 March 2022'!$E$5:$E$19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March - 20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2022'!$B$5:$B$19</f>
              <numCache>
                <formatCode>#,##0.00</formatCode>
                <ptCount val="11"/>
                <pt idx="0">
                  <v>220633.24</v>
                </pt>
                <pt idx="1">
                  <v>229538.83</v>
                </pt>
                <pt idx="2">
                  <v>143637.97</v>
                </pt>
                <pt idx="3">
                  <v>152386.4</v>
                </pt>
                <pt idx="4">
                  <v>233868.56</v>
                </pt>
                <pt idx="5">
                  <v>130047.86</v>
                </pt>
                <pt idx="6">
                  <v>212862.25</v>
                </pt>
                <pt idx="7">
                  <v>226735.62</v>
                </pt>
                <pt idx="8">
                  <v>150819.63</v>
                </pt>
                <pt idx="9">
                  <v>190573.92</v>
                </pt>
                <pt idx="10">
                  <v>139274.86</v>
                </pt>
              </numCache>
            </numRef>
          </val>
        </ser>
        <ser>
          <idx val="3"/>
          <order val="1"/>
          <tx>
            <strRef>
              <f>'14 March - 20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March - 20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'14 March - 20 March 2022'!$E$5:$E$19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March - 27 March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2022'!$B$5:$B$19</f>
              <numCache>
                <formatCode>#,##0.00</formatCode>
                <ptCount val="11"/>
                <pt idx="0">
                  <v>232505.15</v>
                </pt>
                <pt idx="1">
                  <v>238531.51</v>
                </pt>
                <pt idx="2">
                  <v>110546.73</v>
                </pt>
                <pt idx="3">
                  <v>138082.21</v>
                </pt>
                <pt idx="4">
                  <v>193342.82</v>
                </pt>
                <pt idx="5">
                  <v>118093.22</v>
                </pt>
                <pt idx="6">
                  <v>185508.77</v>
                </pt>
                <pt idx="7">
                  <v>326106.42</v>
                </pt>
                <pt idx="8">
                  <v>115253.69</v>
                </pt>
                <pt idx="9">
                  <v>172469.75</v>
                </pt>
                <pt idx="10">
                  <v>160351.55</v>
                </pt>
              </numCache>
            </numRef>
          </val>
        </ser>
        <ser>
          <idx val="3"/>
          <order val="1"/>
          <tx>
            <strRef>
              <f>'21 March - 27 March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March - 27 March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'21 March - 27 March 2022'!$E$5:$E$19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March - 3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2022'!$B$5:$B$19</f>
              <numCache>
                <formatCode>#,##0.00</formatCode>
                <ptCount val="11"/>
                <pt idx="0">
                  <v>254872.5</v>
                </pt>
                <pt idx="1">
                  <v>261094.6</v>
                </pt>
                <pt idx="2">
                  <v>127181.74</v>
                </pt>
                <pt idx="3">
                  <v>148861.7</v>
                </pt>
                <pt idx="4">
                  <v>226906.2</v>
                </pt>
                <pt idx="5">
                  <v>138286.3</v>
                </pt>
                <pt idx="6">
                  <v>229667.3</v>
                </pt>
                <pt idx="7">
                  <v>470107.2</v>
                </pt>
                <pt idx="8">
                  <v>135960.2</v>
                </pt>
                <pt idx="9">
                  <v>192610.4</v>
                </pt>
                <pt idx="10">
                  <v>165936.8</v>
                </pt>
              </numCache>
            </numRef>
          </val>
        </ser>
        <ser>
          <idx val="3"/>
          <order val="1"/>
          <tx>
            <strRef>
              <f>'28 March - 3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March - 3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'28 March - 3 April 2022'!$E$5:$E$19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April - 10 April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'!$B$5:$B$19</f>
              <numCache>
                <formatCode>#,##0.00</formatCode>
                <ptCount val="11"/>
                <pt idx="0">
                  <v>270844.26</v>
                </pt>
                <pt idx="1">
                  <v>262784.09</v>
                </pt>
                <pt idx="2">
                  <v>141938.34</v>
                </pt>
                <pt idx="3">
                  <v>165461.23</v>
                </pt>
                <pt idx="4">
                  <v>257339.41</v>
                </pt>
                <pt idx="5">
                  <v>119135.14</v>
                </pt>
                <pt idx="6">
                  <v>243836.14</v>
                </pt>
                <pt idx="7">
                  <v>444323.67</v>
                </pt>
                <pt idx="8">
                  <v>144449.49</v>
                </pt>
                <pt idx="9">
                  <v>197350.93</v>
                </pt>
                <pt idx="10">
                  <v>171446.3</v>
                </pt>
              </numCache>
            </numRef>
          </val>
        </ser>
        <ser>
          <idx val="3"/>
          <order val="1"/>
          <tx>
            <strRef>
              <f>'4 April - 10 April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April - 10 April 2022 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'4 April - 10 April 2022 '!$E$5:$E$19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April - 17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2022'!$B$5:$B$19</f>
              <numCache>
                <formatCode>#,##0.00</formatCode>
                <ptCount val="11"/>
                <pt idx="0">
                  <v>200784.01</v>
                </pt>
                <pt idx="1">
                  <v>220316.34</v>
                </pt>
                <pt idx="2">
                  <v>110426.79</v>
                </pt>
                <pt idx="3">
                  <v>153079.94</v>
                </pt>
                <pt idx="4">
                  <v>209420.29</v>
                </pt>
                <pt idx="5">
                  <v>131821.94</v>
                </pt>
                <pt idx="6">
                  <v>204104.97</v>
                </pt>
                <pt idx="7">
                  <v>239272.61</v>
                </pt>
                <pt idx="8">
                  <v>113632.89</v>
                </pt>
                <pt idx="9">
                  <v>174425.79</v>
                </pt>
                <pt idx="10">
                  <v>144420.69</v>
                </pt>
              </numCache>
            </numRef>
          </val>
        </ser>
        <ser>
          <idx val="3"/>
          <order val="1"/>
          <tx>
            <strRef>
              <f>'11 April - 17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April - 17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'11 April - 17 April 2022'!$E$5:$E$19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April - 24 April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2022'!$B$5:$B$19</f>
              <numCache>
                <formatCode>#,##0.00</formatCode>
                <ptCount val="11"/>
                <pt idx="0">
                  <v>224068.72</v>
                </pt>
                <pt idx="1">
                  <v>217553.9</v>
                </pt>
                <pt idx="2">
                  <v>114307.8</v>
                </pt>
                <pt idx="3">
                  <v>127675.73</v>
                </pt>
                <pt idx="4">
                  <v>209516.9</v>
                </pt>
                <pt idx="5">
                  <v>116316.31</v>
                </pt>
                <pt idx="6">
                  <v>182058.69</v>
                </pt>
                <pt idx="7">
                  <v>335112.24</v>
                </pt>
                <pt idx="8">
                  <v>141328.62</v>
                </pt>
                <pt idx="9">
                  <v>168235.41</v>
                </pt>
                <pt idx="10">
                  <v>146890.01</v>
                </pt>
              </numCache>
            </numRef>
          </val>
        </ser>
        <ser>
          <idx val="3"/>
          <order val="1"/>
          <tx>
            <strRef>
              <f>'18 April - 24 April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April - 24 April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'18 April - 24 April 2022'!$E$5:$E$19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April - 1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2022'!$B$5:$B$19</f>
              <numCache>
                <formatCode>#,##0.00</formatCode>
                <ptCount val="11"/>
                <pt idx="0">
                  <v>232877.04</v>
                </pt>
                <pt idx="1">
                  <v>190088.51</v>
                </pt>
                <pt idx="2">
                  <v>129274.54</v>
                </pt>
                <pt idx="3">
                  <v>151703.32</v>
                </pt>
                <pt idx="4">
                  <v>227149.97</v>
                </pt>
                <pt idx="5">
                  <v>123322.3</v>
                </pt>
                <pt idx="6">
                  <v>220376.4</v>
                </pt>
                <pt idx="7">
                  <v>282976.74</v>
                </pt>
                <pt idx="8">
                  <v>133740.87</v>
                </pt>
                <pt idx="9">
                  <v>205771.42</v>
                </pt>
                <pt idx="10">
                  <v>157450.38</v>
                </pt>
              </numCache>
            </numRef>
          </val>
        </ser>
        <ser>
          <idx val="3"/>
          <order val="1"/>
          <tx>
            <strRef>
              <f>'25 April - 1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April - 1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Paulshof</v>
                </pt>
                <pt idx="10">
                  <v>Queenswood</v>
                </pt>
              </strCache>
            </strRef>
          </cat>
          <val>
            <numRef>
              <f>'25 April - 1 May 2022'!$E$5:$E$19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 May - 8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2022'!$B$5:$B$19</f>
              <numCache>
                <formatCode>#,##0.00</formatCode>
                <ptCount val="11"/>
                <pt idx="0">
                  <v>272852.79</v>
                </pt>
                <pt idx="1">
                  <v>271344.55</v>
                </pt>
                <pt idx="2">
                  <v>131075.06</v>
                </pt>
                <pt idx="3">
                  <v>170567.98</v>
                </pt>
                <pt idx="4">
                  <v>250178.98</v>
                </pt>
                <pt idx="5">
                  <v>131218.39</v>
                </pt>
                <pt idx="6">
                  <v>249265.48</v>
                </pt>
                <pt idx="7">
                  <v>304217.65</v>
                </pt>
                <pt idx="8">
                  <v>141716.53</v>
                </pt>
                <pt idx="9">
                  <v>194877.73</v>
                </pt>
                <pt idx="10">
                  <v>172711.42</v>
                </pt>
              </numCache>
            </numRef>
          </val>
        </ser>
        <ser>
          <idx val="3"/>
          <order val="1"/>
          <tx>
            <strRef>
              <f>'2 May - 8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 May - 8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 May - 8 May 2022'!$E$5:$E$19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'9 May - 15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2022'!$B$5:$B$19</f>
              <numCache>
                <formatCode>#,##0.00</formatCode>
                <ptCount val="11"/>
                <pt idx="0">
                  <v>273957.16</v>
                </pt>
                <pt idx="1">
                  <v>263550.87</v>
                </pt>
                <pt idx="2">
                  <v>137319.82</v>
                </pt>
                <pt idx="3">
                  <v>186729.06</v>
                </pt>
                <pt idx="4">
                  <v>251631.67</v>
                </pt>
                <pt idx="5">
                  <v>141874.21</v>
                </pt>
                <pt idx="6">
                  <v>220292.82</v>
                </pt>
                <pt idx="7">
                  <v>229606.86</v>
                </pt>
                <pt idx="8">
                  <v>163958.02</v>
                </pt>
                <pt idx="9">
                  <v>202700.94</v>
                </pt>
                <pt idx="10">
                  <v>196802.72</v>
                </pt>
              </numCache>
            </numRef>
          </val>
        </ser>
        <ser>
          <idx val="3"/>
          <order val="1"/>
          <tx>
            <strRef>
              <f>'9 May - 15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'9 May - 15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'9 May - 15 May 2022'!$E$5:$E$19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May - 22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2022'!$B$5:$B$19</f>
              <numCache>
                <formatCode>#,##0.00</formatCode>
                <ptCount val="11"/>
                <pt idx="0">
                  <v>234970.62</v>
                </pt>
                <pt idx="1">
                  <v>214788.28</v>
                </pt>
                <pt idx="2">
                  <v>117099.82</v>
                </pt>
                <pt idx="3">
                  <v>165338.07</v>
                </pt>
                <pt idx="4">
                  <v>226756.37</v>
                </pt>
                <pt idx="5">
                  <v>118733.3</v>
                </pt>
                <pt idx="6">
                  <v>208872.71</v>
                </pt>
                <pt idx="7">
                  <v>189611.28</v>
                </pt>
                <pt idx="8">
                  <v>133107.02</v>
                </pt>
                <pt idx="9">
                  <v>173899.05</v>
                </pt>
                <pt idx="10">
                  <v>138368.63</v>
                </pt>
              </numCache>
            </numRef>
          </val>
        </ser>
        <ser>
          <idx val="3"/>
          <order val="1"/>
          <tx>
            <strRef>
              <f>'16 May - 22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May - 22 May 2022'!$A$5:$A$19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'16 May - 22 May 2022'!$E$5:$E$19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May - 29 May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2022'!$B$5:$B$15</f>
              <numCache>
                <formatCode>#,##0.00</formatCode>
                <ptCount val="11"/>
                <pt idx="0">
                  <v>215349.4</v>
                </pt>
                <pt idx="1">
                  <v>196341.91</v>
                </pt>
                <pt idx="2">
                  <v>108311.73</v>
                </pt>
                <pt idx="3">
                  <v>173410.07</v>
                </pt>
                <pt idx="4">
                  <v>226149.13</v>
                </pt>
                <pt idx="5">
                  <v>136993</v>
                </pt>
                <pt idx="6">
                  <v>207602.03</v>
                </pt>
                <pt idx="7">
                  <v>177237.64</v>
                </pt>
                <pt idx="8">
                  <v>136813.79</v>
                </pt>
                <pt idx="9">
                  <v>163417.19</v>
                </pt>
                <pt idx="10">
                  <v>142536.71</v>
                </pt>
              </numCache>
            </numRef>
          </val>
        </ser>
        <ser>
          <idx val="3"/>
          <order val="1"/>
          <tx>
            <strRef>
              <f>'23 May - 29 May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May - 29 May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'23 May - 29 May 2022'!$E$5:$E$15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May - 5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2022'!$B$5:$B$15</f>
              <numCache>
                <formatCode>#,##0.00</formatCode>
                <ptCount val="11"/>
                <pt idx="0">
                  <v>255083.6</v>
                </pt>
                <pt idx="1">
                  <v>280559.7</v>
                </pt>
                <pt idx="2">
                  <v>142495.7</v>
                </pt>
                <pt idx="3">
                  <v>168921.1</v>
                </pt>
                <pt idx="4">
                  <v>227402.9</v>
                </pt>
                <pt idx="5">
                  <v>120419.2</v>
                </pt>
                <pt idx="6">
                  <v>240192.1</v>
                </pt>
                <pt idx="7">
                  <v>189110.9</v>
                </pt>
                <pt idx="8">
                  <v>146091</v>
                </pt>
                <pt idx="9">
                  <v>204056.9</v>
                </pt>
                <pt idx="10">
                  <v>172188.5</v>
                </pt>
              </numCache>
            </numRef>
          </val>
        </ser>
        <ser>
          <idx val="3"/>
          <order val="1"/>
          <tx>
            <strRef>
              <f>'30 May - 5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May - 5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'30 May - 5 June 2022'!$E$5:$E$15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June - 12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2022'!$B$5:$B$15</f>
              <numCache>
                <formatCode>#,##0.00</formatCode>
                <ptCount val="11"/>
                <pt idx="0">
                  <v>251460.54</v>
                </pt>
                <pt idx="1">
                  <v>239082.84</v>
                </pt>
                <pt idx="2">
                  <v>149569.37</v>
                </pt>
                <pt idx="3">
                  <v>158760.86</v>
                </pt>
                <pt idx="4">
                  <v>231306.95</v>
                </pt>
                <pt idx="5">
                  <v>114469.5</v>
                </pt>
                <pt idx="6">
                  <v>219193.09</v>
                </pt>
                <pt idx="7">
                  <v>179551.44</v>
                </pt>
                <pt idx="8">
                  <v>116941.95</v>
                </pt>
                <pt idx="9">
                  <v>185670.54</v>
                </pt>
                <pt idx="10">
                  <v>150423.43</v>
                </pt>
              </numCache>
            </numRef>
          </val>
        </ser>
        <ser>
          <idx val="3"/>
          <order val="1"/>
          <tx>
            <strRef>
              <f>'6 June - 12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June - 12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'6 June - 12 June 2022'!$E$5:$E$15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June - 19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2022'!$B$5:$B$15</f>
              <numCache>
                <formatCode>#,##0.00</formatCode>
                <ptCount val="11"/>
                <pt idx="0">
                  <v>235189.99</v>
                </pt>
                <pt idx="1">
                  <v>187075.01</v>
                </pt>
                <pt idx="2">
                  <v>124465.16</v>
                </pt>
                <pt idx="3">
                  <v>135600.74</v>
                </pt>
                <pt idx="4">
                  <v>171418.89</v>
                </pt>
                <pt idx="5">
                  <v>120010.86</v>
                </pt>
                <pt idx="6">
                  <v>166400</v>
                </pt>
                <pt idx="7">
                  <v>184907.55</v>
                </pt>
                <pt idx="8">
                  <v>114619.6</v>
                </pt>
                <pt idx="9">
                  <v>152915.98</v>
                </pt>
                <pt idx="10">
                  <v>132954.25</v>
                </pt>
              </numCache>
            </numRef>
          </val>
        </ser>
        <ser>
          <idx val="3"/>
          <order val="1"/>
          <tx>
            <strRef>
              <f>'13 June - 19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June - 19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'13 June - 19 June 2022'!$E$5:$E$15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June - 26 June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2022'!$B$5:$B$15</f>
              <numCache>
                <formatCode>#,##0.00</formatCode>
                <ptCount val="11"/>
                <pt idx="0">
                  <v>279205.43</v>
                </pt>
                <pt idx="1">
                  <v>221679.83</v>
                </pt>
                <pt idx="2">
                  <v>113165.51</v>
                </pt>
                <pt idx="3">
                  <v>146503.88</v>
                </pt>
                <pt idx="4">
                  <v>228284.19</v>
                </pt>
                <pt idx="5">
                  <v>103901.14</v>
                </pt>
                <pt idx="6">
                  <v>204276.87</v>
                </pt>
                <pt idx="7">
                  <v>216553.12</v>
                </pt>
                <pt idx="8">
                  <v>128209.03</v>
                </pt>
                <pt idx="9">
                  <v>168308.93</v>
                </pt>
                <pt idx="10">
                  <v>146831.6</v>
                </pt>
              </numCache>
            </numRef>
          </val>
        </ser>
        <ser>
          <idx val="3"/>
          <order val="1"/>
          <tx>
            <strRef>
              <f>'20 June - 26 June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June - 26 June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'20 June - 26 June 2022'!$E$5:$E$15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June - 3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2022'!$B$5:$B$15</f>
              <numCache>
                <formatCode>#,##0.00</formatCode>
                <ptCount val="11"/>
                <pt idx="0">
                  <v>191035.01</v>
                </pt>
                <pt idx="1">
                  <v>210378.92</v>
                </pt>
                <pt idx="2">
                  <v>133572.35</v>
                </pt>
                <pt idx="3">
                  <v>179262.21</v>
                </pt>
                <pt idx="4">
                  <v>216386.55</v>
                </pt>
                <pt idx="5">
                  <v>140792.72</v>
                </pt>
                <pt idx="6">
                  <v>183536.57</v>
                </pt>
                <pt idx="7">
                  <v>201252.54</v>
                </pt>
                <pt idx="8">
                  <v>131200.66</v>
                </pt>
                <pt idx="9">
                  <v>172648.67</v>
                </pt>
                <pt idx="10">
                  <v>131952.48</v>
                </pt>
              </numCache>
            </numRef>
          </val>
        </ser>
        <ser>
          <idx val="3"/>
          <order val="1"/>
          <tx>
            <strRef>
              <f>'27 June - 3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June - 3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'27 June - 3 July 2022'!$E$5:$E$15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'4 July - 10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2022'!$B$5:$B$15</f>
              <numCache>
                <formatCode>#,##0.00</formatCode>
                <ptCount val="11"/>
                <pt idx="0">
                  <v>268572.24</v>
                </pt>
                <pt idx="1">
                  <v>321979.3</v>
                </pt>
                <pt idx="2">
                  <v>150343.1</v>
                </pt>
                <pt idx="3">
                  <v>177308.39</v>
                </pt>
                <pt idx="4">
                  <v>244557.62</v>
                </pt>
                <pt idx="5">
                  <v>141566.34</v>
                </pt>
                <pt idx="6">
                  <v>237796.93</v>
                </pt>
                <pt idx="7">
                  <v>301643.55</v>
                </pt>
                <pt idx="8">
                  <v>190587.81</v>
                </pt>
                <pt idx="9">
                  <v>219752.94</v>
                </pt>
                <pt idx="10">
                  <v>174446.42</v>
                </pt>
              </numCache>
            </numRef>
          </val>
        </ser>
        <ser>
          <idx val="3"/>
          <order val="1"/>
          <tx>
            <strRef>
              <f>'4 July - 10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'4 July - 10 July 2022'!$A$5:$A$15</f>
              <strCache>
                <ptCount val="11"/>
                <pt idx="0">
                  <v>Irene Village</v>
                </pt>
                <pt idx="1">
                  <v>Melrose Arch</v>
                </pt>
                <pt idx="2">
                  <v>Melville</v>
                </pt>
                <pt idx="3">
                  <v xml:space="preserve">Waterkloof </v>
                </pt>
                <pt idx="4">
                  <v>Eagles Landing</v>
                </pt>
                <pt idx="5">
                  <v>Stellenbosch</v>
                </pt>
                <pt idx="6">
                  <v>Lynnwood</v>
                </pt>
                <pt idx="7">
                  <v>Hartenbos</v>
                </pt>
                <pt idx="8">
                  <v>Kyalami Corner</v>
                </pt>
                <pt idx="9">
                  <v>Cambridge Crossing</v>
                </pt>
                <pt idx="10">
                  <v>Queenswood</v>
                </pt>
              </strCache>
            </strRef>
          </cat>
          <val>
            <numRef>
              <f>'4 July - 10 July 2022'!$E$5:$E$15</f>
              <numCache>
                <formatCode>#,##0.00</formatCode>
                <ptCount val="11"/>
                <pt idx="0">
                  <v>233049.25</v>
                </pt>
                <pt idx="1">
                  <v>252570.75</v>
                </pt>
                <pt idx="2">
                  <v>126008.3</v>
                </pt>
                <pt idx="3">
                  <v>142436.23</v>
                </pt>
                <pt idx="4">
                  <v>244802.01</v>
                </pt>
                <pt idx="5">
                  <v>128388.49</v>
                </pt>
                <pt idx="6">
                  <v>189648.62</v>
                </pt>
                <pt idx="7">
                  <v>313858.58</v>
                </pt>
                <pt idx="8">
                  <v>151762.27</v>
                </pt>
                <pt idx="9">
                  <v>168612.7</v>
                </pt>
                <pt idx="10">
                  <v>132954.17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'11 July - 17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2022'!$B$5:$B$15</f>
              <numCache>
                <formatCode>#,##0.00</formatCode>
                <ptCount val="11"/>
                <pt idx="0">
                  <v>313858.58</v>
                </pt>
                <pt idx="1">
                  <v>244802.01</v>
                </pt>
                <pt idx="2">
                  <v>233049.25</v>
                </pt>
                <pt idx="3">
                  <v>151762.27</v>
                </pt>
                <pt idx="4">
                  <v>189648.62</v>
                </pt>
                <pt idx="5">
                  <v>252570.75</v>
                </pt>
                <pt idx="6">
                  <v>126008.3</v>
                </pt>
                <pt idx="7">
                  <v>168612.7</v>
                </pt>
                <pt idx="8">
                  <v>132954.17</v>
                </pt>
                <pt idx="9">
                  <v>142436.23</v>
                </pt>
                <pt idx="10">
                  <v>128388.49</v>
                </pt>
              </numCache>
            </numRef>
          </val>
        </ser>
        <ser>
          <idx val="3"/>
          <order val="1"/>
          <tx>
            <strRef>
              <f>'11 July - 17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'11 July - 17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'11 July - 17 July 2022'!$E$5:$E$15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132052.69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'18 July - 24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2022'!$B$5:$B$15</f>
              <numCache>
                <formatCode>#,##0.00</formatCode>
                <ptCount val="11"/>
                <pt idx="0">
                  <v>308387.34</v>
                </pt>
                <pt idx="1">
                  <v>218341.36</v>
                </pt>
                <pt idx="2">
                  <v>229431.22</v>
                </pt>
                <pt idx="3">
                  <v>145598.56</v>
                </pt>
                <pt idx="4">
                  <v>214919.99</v>
                </pt>
                <pt idx="5">
                  <v>270660.22</v>
                </pt>
                <pt idx="6">
                  <v>126008.3</v>
                </pt>
                <pt idx="7">
                  <v>192667.35</v>
                </pt>
                <pt idx="8">
                  <v>155494.3</v>
                </pt>
                <pt idx="9">
                  <v>140253.71</v>
                </pt>
                <pt idx="10">
                  <v>129577.45</v>
                </pt>
              </numCache>
            </numRef>
          </val>
        </ser>
        <ser>
          <idx val="3"/>
          <order val="1"/>
          <tx>
            <strRef>
              <f>'18 July - 24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'18 July - 24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'18 July - 24 July 2022'!$E$5:$E$15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'25 July - 31 July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2022'!$B$5:$B$15</f>
              <numCache>
                <formatCode>#,##0.00</formatCode>
                <ptCount val="11"/>
                <pt idx="0">
                  <v>233558.86</v>
                </pt>
                <pt idx="1">
                  <v>240257.2</v>
                </pt>
                <pt idx="2">
                  <v>262360.31</v>
                </pt>
                <pt idx="3">
                  <v>151370.58</v>
                </pt>
                <pt idx="4">
                  <v>193389.34</v>
                </pt>
                <pt idx="5">
                  <v>288431.05</v>
                </pt>
                <pt idx="6">
                  <v>0</v>
                </pt>
                <pt idx="7">
                  <v>171116.79</v>
                </pt>
                <pt idx="8">
                  <v>155532.37</v>
                </pt>
                <pt idx="9">
                  <v>157170.6</v>
                </pt>
                <pt idx="10">
                  <v>111700.34</v>
                </pt>
              </numCache>
            </numRef>
          </val>
        </ser>
        <ser>
          <idx val="3"/>
          <order val="1"/>
          <tx>
            <strRef>
              <f>'25 July - 31 July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'25 July - 31 July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'25 July - 31 July 2022'!$E$5:$E$15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 Aug - 7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2022'!$B$5:$B$15</f>
              <numCache>
                <formatCode>#,##0.00</formatCode>
                <ptCount val="11"/>
                <pt idx="0">
                  <v>190506.85</v>
                </pt>
                <pt idx="1">
                  <v>253992.78</v>
                </pt>
                <pt idx="2">
                  <v>240166.92</v>
                </pt>
                <pt idx="3">
                  <v>166955.5</v>
                </pt>
                <pt idx="4">
                  <v>238882.51</v>
                </pt>
                <pt idx="5">
                  <v>284219.88</v>
                </pt>
                <pt idx="6">
                  <v>175361.57</v>
                </pt>
                <pt idx="7">
                  <v>205658.13</v>
                </pt>
                <pt idx="8">
                  <v>161698.1</v>
                </pt>
                <pt idx="9">
                  <v>171762.54</v>
                </pt>
                <pt idx="10">
                  <v>135722.59</v>
                </pt>
              </numCache>
            </numRef>
          </val>
        </ser>
        <ser>
          <idx val="3"/>
          <order val="1"/>
          <tx>
            <strRef>
              <f>'1 Aug - 7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 Aug - 7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 Aug - 7 Aug 2022'!$E$5:$E$15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'8 Aug - 14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2022'!$B$5:$B$15</f>
              <numCache>
                <formatCode>#,##0.00</formatCode>
                <ptCount val="11"/>
                <pt idx="0">
                  <v>223073.31</v>
                </pt>
                <pt idx="1">
                  <v>246017.55</v>
                </pt>
                <pt idx="2">
                  <v>222929.78</v>
                </pt>
                <pt idx="3">
                  <v>142525.06</v>
                </pt>
                <pt idx="4">
                  <v>210674.76</v>
                </pt>
                <pt idx="5">
                  <v>253761.63</v>
                </pt>
                <pt idx="6">
                  <v>137253.75</v>
                </pt>
                <pt idx="7">
                  <v>203624.91</v>
                </pt>
                <pt idx="8">
                  <v>149649.69</v>
                </pt>
                <pt idx="9">
                  <v>174804.45</v>
                </pt>
                <pt idx="10">
                  <v>131370.49</v>
                </pt>
              </numCache>
            </numRef>
          </val>
        </ser>
        <ser>
          <idx val="3"/>
          <order val="1"/>
          <tx>
            <strRef>
              <f>'8 Aug - 14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'8 Aug - 14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'8 Aug - 14 Aug 2022'!$E$5:$E$15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Aug - 21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2022'!$B$5:$B$15</f>
              <numCache>
                <formatCode>#,##0.00</formatCode>
                <ptCount val="11"/>
                <pt idx="0">
                  <v>250229.34</v>
                </pt>
                <pt idx="1">
                  <v>225621.66</v>
                </pt>
                <pt idx="2">
                  <v>251168.25</v>
                </pt>
                <pt idx="3">
                  <v>149602.25</v>
                </pt>
                <pt idx="4">
                  <v>206309.34</v>
                </pt>
                <pt idx="5">
                  <v>343437.12</v>
                </pt>
                <pt idx="6">
                  <v>142653.71</v>
                </pt>
                <pt idx="7">
                  <v>197141.69</v>
                </pt>
                <pt idx="8">
                  <v>154231.74</v>
                </pt>
                <pt idx="9">
                  <v>178592.68</v>
                </pt>
                <pt idx="10">
                  <v>130051.87</v>
                </pt>
              </numCache>
            </numRef>
          </val>
        </ser>
        <ser>
          <idx val="3"/>
          <order val="1"/>
          <tx>
            <strRef>
              <f>'15 Aug - 21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Aug - 21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Aug - 21 Aug 2022'!$E$5:$E$15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Aug - 28 Aug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2022'!$B$5:$B$15</f>
              <numCache>
                <formatCode>#,##0.00</formatCode>
                <ptCount val="11"/>
                <pt idx="0">
                  <v>203120.59</v>
                </pt>
                <pt idx="1">
                  <v>196366.64</v>
                </pt>
                <pt idx="2">
                  <v>194288.81</v>
                </pt>
                <pt idx="3">
                  <v>148905.81</v>
                </pt>
                <pt idx="4">
                  <v>208809.95</v>
                </pt>
                <pt idx="5">
                  <v>230636.06</v>
                </pt>
                <pt idx="6">
                  <v>114215.58</v>
                </pt>
                <pt idx="7">
                  <v>189760.56</v>
                </pt>
                <pt idx="8">
                  <v>153506.39</v>
                </pt>
                <pt idx="9">
                  <v>184661.74</v>
                </pt>
                <pt idx="10">
                  <v>147097.4</v>
                </pt>
              </numCache>
            </numRef>
          </val>
        </ser>
        <ser>
          <idx val="3"/>
          <order val="1"/>
          <tx>
            <strRef>
              <f>'22 Aug - 28 Aug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Aug - 28 Aug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Aug - 28 Aug 2022'!$E$5:$E$15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Aug - 4 Sep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'!$B$5:$B$15</f>
              <numCache>
                <formatCode>#,##0.00</formatCode>
                <ptCount val="11"/>
                <pt idx="0">
                  <v>212042.92</v>
                </pt>
                <pt idx="1">
                  <v>201569.89</v>
                </pt>
                <pt idx="2">
                  <v>222418.21</v>
                </pt>
                <pt idx="3">
                  <v>148590.98</v>
                </pt>
                <pt idx="4">
                  <v>212422.03</v>
                </pt>
                <pt idx="5">
                  <v>272667.7</v>
                </pt>
                <pt idx="6">
                  <v>152939.37</v>
                </pt>
                <pt idx="7">
                  <v>190621.49</v>
                </pt>
                <pt idx="8">
                  <v>166033.59</v>
                </pt>
                <pt idx="9">
                  <v>157298.63</v>
                </pt>
                <pt idx="10">
                  <v>135960.13</v>
                </pt>
              </numCache>
            </numRef>
          </val>
        </ser>
        <ser>
          <idx val="3"/>
          <order val="1"/>
          <tx>
            <strRef>
              <f>'29 Aug - 4 Sep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Aug - 4 Sep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Aug - 4 Sep 2022 '!$E$5:$E$15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Sep - 11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2022'!$B$5:$B$15</f>
              <numCache>
                <formatCode>#,##0.00</formatCode>
                <ptCount val="11"/>
                <pt idx="0">
                  <v>192137.33</v>
                </pt>
                <pt idx="1">
                  <v>220012.87</v>
                </pt>
                <pt idx="2">
                  <v>229781.26</v>
                </pt>
                <pt idx="3">
                  <v>137255.2</v>
                </pt>
                <pt idx="4">
                  <v>193912.73</v>
                </pt>
                <pt idx="5">
                  <v>248199.04</v>
                </pt>
                <pt idx="6">
                  <v>131301.91</v>
                </pt>
                <pt idx="7">
                  <v>178544.41</v>
                </pt>
                <pt idx="8">
                  <v>147903.86</v>
                </pt>
                <pt idx="9">
                  <v>153143.83</v>
                </pt>
                <pt idx="10">
                  <v>113464.22</v>
                </pt>
              </numCache>
            </numRef>
          </val>
        </ser>
        <ser>
          <idx val="3"/>
          <order val="1"/>
          <tx>
            <strRef>
              <f>'5 Sep - 11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Sep - 11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Sep - 11 Sep 2022'!$E$5:$E$15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Sep - 18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2022'!$B$5:$B$15</f>
              <numCache>
                <formatCode>#,##0.00</formatCode>
                <ptCount val="11"/>
                <pt idx="0">
                  <v>212271.82</v>
                </pt>
                <pt idx="1">
                  <v>214856.2</v>
                </pt>
                <pt idx="2">
                  <v>225744.14</v>
                </pt>
                <pt idx="3">
                  <v>129458.37</v>
                </pt>
                <pt idx="4">
                  <v>209040.15</v>
                </pt>
                <pt idx="5">
                  <v>265191.83</v>
                </pt>
                <pt idx="6">
                  <v>133048.22</v>
                </pt>
                <pt idx="7">
                  <v>218525.12</v>
                </pt>
                <pt idx="8">
                  <v>161262.08</v>
                </pt>
                <pt idx="9">
                  <v>140651.8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'12 Sep - 18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Sep - 18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Sep - 18 Sep 2022'!$E$5:$E$15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7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Sep - 25 Sep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2022'!$B$5:$B$15</f>
              <numCache>
                <formatCode>#,##0.00</formatCode>
                <ptCount val="11"/>
                <pt idx="0">
                  <v>234849.7</v>
                </pt>
                <pt idx="1">
                  <v>216677.99</v>
                </pt>
                <pt idx="2">
                  <v>193886.77</v>
                </pt>
                <pt idx="3">
                  <v>144551.95</v>
                </pt>
                <pt idx="4">
                  <v>213709.05</v>
                </pt>
                <pt idx="5">
                  <v>279795.2</v>
                </pt>
                <pt idx="6">
                  <v>167247.23</v>
                </pt>
                <pt idx="7">
                  <v>218068.93</v>
                </pt>
                <pt idx="8">
                  <v>153393.08</v>
                </pt>
                <pt idx="9">
                  <v>147289.82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'19 Sep - 25 Sep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Sep - 25 Sep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Sep - 25 Sep 2022'!$E$5:$E$15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Sep - 02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2022'!$B$5:$B$15</f>
              <numCache>
                <formatCode>#,##0.00</formatCode>
                <ptCount val="11"/>
                <pt idx="0">
                  <v>244128.01</v>
                </pt>
                <pt idx="1">
                  <v>233368.03</v>
                </pt>
                <pt idx="2">
                  <v>226256.61</v>
                </pt>
                <pt idx="3">
                  <v>168556.25</v>
                </pt>
                <pt idx="4">
                  <v>202119.65</v>
                </pt>
                <pt idx="5">
                  <v>248762.9</v>
                </pt>
                <pt idx="6">
                  <v>118205.76</v>
                </pt>
                <pt idx="7">
                  <v>211345.95</v>
                </pt>
                <pt idx="8">
                  <v>172286.55</v>
                </pt>
                <pt idx="9">
                  <v>158387.9</v>
                </pt>
                <pt idx="10">
                  <v>0</v>
                </pt>
              </numCache>
            </numRef>
          </val>
        </ser>
        <ser>
          <idx val="3"/>
          <order val="1"/>
          <tx>
            <strRef>
              <f>'26 Sep - 02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Sep - 02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Sep - 02 Oct 2022'!$E$5:$E$15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formatCode>General</formatCode>
                  <v>57793.08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Oct - 09 Oct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'!$B$5:$B$15</f>
              <numCache>
                <formatCode>#,##0.00</formatCode>
                <ptCount val="11"/>
                <pt idx="0">
                  <v>335499.3</v>
                </pt>
                <pt idx="1">
                  <v>261348.81</v>
                </pt>
                <pt idx="2">
                  <v>209389.69</v>
                </pt>
                <pt idx="3">
                  <v>181834.26</v>
                </pt>
                <pt idx="4">
                  <v>221588.5</v>
                </pt>
                <pt idx="5">
                  <v>287917.17</v>
                </pt>
                <pt idx="6">
                  <v>160500.8</v>
                </pt>
                <pt idx="7">
                  <v>189395.77</v>
                </pt>
                <pt idx="8">
                  <v>154435.76</v>
                </pt>
                <pt idx="9">
                  <v>146413.9</v>
                </pt>
                <pt idx="10">
                  <v>57793.08</v>
                </pt>
              </numCache>
            </numRef>
          </val>
        </ser>
        <ser>
          <idx val="3"/>
          <order val="1"/>
          <tx>
            <strRef>
              <f>'03 Oct - 09 Oct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Oct - 09 Oct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Oct - 09 Oct 2022 '!$E$5:$E$15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Oct -16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2022'!$B$5:$B$15</f>
              <numCache>
                <formatCode>#,##0.00</formatCode>
                <ptCount val="11"/>
                <pt idx="0">
                  <v>418554.29</v>
                </pt>
                <pt idx="1">
                  <v>239054.84</v>
                </pt>
                <pt idx="2">
                  <v>264026.69</v>
                </pt>
                <pt idx="3">
                  <v>163139.71</v>
                </pt>
                <pt idx="4">
                  <v>203154.9</v>
                </pt>
                <pt idx="5">
                  <v>247618.57</v>
                </pt>
                <pt idx="6">
                  <v>142414.61</v>
                </pt>
                <pt idx="7">
                  <v>214740.55</v>
                </pt>
                <pt idx="8">
                  <v>184125.86</v>
                </pt>
                <pt idx="9">
                  <v>163402.9</v>
                </pt>
                <pt idx="10">
                  <v>129718</v>
                </pt>
              </numCache>
            </numRef>
          </val>
        </ser>
        <ser>
          <idx val="3"/>
          <order val="1"/>
          <tx>
            <strRef>
              <f>'10 Oct -16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Oct -16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Oct -16 Oct 2022'!$E$5:$E$15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Oct -23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2022'!$B$5:$B$15</f>
              <numCache>
                <formatCode>#,##0.00</formatCode>
                <ptCount val="11"/>
                <pt idx="0">
                  <v>265670.72</v>
                </pt>
                <pt idx="1">
                  <v>202954.8</v>
                </pt>
                <pt idx="2">
                  <v>215927.33</v>
                </pt>
                <pt idx="3">
                  <v>143769.19</v>
                </pt>
                <pt idx="4">
                  <v>198012.81</v>
                </pt>
                <pt idx="5">
                  <v>223354.08</v>
                </pt>
                <pt idx="6">
                  <v>146513.73</v>
                </pt>
                <pt idx="7">
                  <v>206967.02</v>
                </pt>
                <pt idx="8">
                  <v>189315.43</v>
                </pt>
                <pt idx="9">
                  <v>151030.05</v>
                </pt>
                <pt idx="10">
                  <v>150896.97</v>
                </pt>
              </numCache>
            </numRef>
          </val>
        </ser>
        <ser>
          <idx val="3"/>
          <order val="1"/>
          <tx>
            <strRef>
              <f>'17 Oct -23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Oct -23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Oct -23 Oct 2022'!$E$5:$E$15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8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Oct -30 Oct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2022'!$B$5:$B$15</f>
              <numCache>
                <formatCode>#,##0.00</formatCode>
                <ptCount val="11"/>
                <pt idx="0">
                  <v>231222.07</v>
                </pt>
                <pt idx="1">
                  <v>204863.42</v>
                </pt>
                <pt idx="2">
                  <v>212169.11</v>
                </pt>
                <pt idx="3">
                  <v>126392.36</v>
                </pt>
                <pt idx="4">
                  <v>189835.14</v>
                </pt>
                <pt idx="5">
                  <v>214335.12</v>
                </pt>
                <pt idx="6">
                  <v>142345.79</v>
                </pt>
                <pt idx="7">
                  <v>211661.8</v>
                </pt>
                <pt idx="8">
                  <v>159981.17</v>
                </pt>
                <pt idx="9">
                  <v>167241.45</v>
                </pt>
                <pt idx="10">
                  <v>150977.88</v>
                </pt>
              </numCache>
            </numRef>
          </val>
        </ser>
        <ser>
          <idx val="3"/>
          <order val="1"/>
          <tx>
            <strRef>
              <f>'24 Oct -30 Oct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Oct -30 Oct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Oct -30 Oct 2022'!$E$5:$E$15</f>
              <numCache>
                <formatCode>#,##0.00</formatCode>
                <ptCount val="11"/>
                <pt idx="0">
                  <formatCode>General</formatCode>
                  <v>257455.68</v>
                </pt>
                <pt idx="1">
                  <v>227257.39</v>
                </pt>
                <pt idx="2">
                  <formatCode>General</formatCode>
                  <v>223446.27</v>
                </pt>
                <pt idx="3">
                  <formatCode>General</formatCode>
                  <v>138079.7</v>
                </pt>
                <pt idx="4">
                  <formatCode>General</formatCode>
                  <v>231936.32</v>
                </pt>
                <pt idx="5">
                  <formatCode>General</formatCode>
                  <v>248519.64</v>
                </pt>
                <pt idx="6">
                  <formatCode>General</formatCode>
                  <v>118378.17</v>
                </pt>
                <pt idx="7">
                  <formatCode>General</formatCode>
                  <v>224024.94</v>
                </pt>
                <pt idx="8">
                  <formatCode>General</formatCode>
                  <v>195536.13</v>
                </pt>
                <pt idx="9">
                  <formatCode>General</formatCode>
                  <v>159646.01</v>
                </pt>
                <pt idx="10">
                  <formatCode>General</formatCode>
                  <v>141040.22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Oct - 06 Nov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2022'!$B$5:$B$15</f>
              <numCache>
                <formatCode>#,##0.00</formatCode>
                <ptCount val="11"/>
                <pt idx="0">
                  <v>257455.68</v>
                </pt>
                <pt idx="1">
                  <v>227257.39</v>
                </pt>
                <pt idx="2">
                  <v>223446.27</v>
                </pt>
                <pt idx="3">
                  <v>138079.7</v>
                </pt>
                <pt idx="4">
                  <v>231936.32</v>
                </pt>
                <pt idx="5">
                  <v>248519.64</v>
                </pt>
                <pt idx="6">
                  <v>118378.17</v>
                </pt>
                <pt idx="7">
                  <v>224024.94</v>
                </pt>
                <pt idx="8">
                  <v>195536.13</v>
                </pt>
                <pt idx="9">
                  <v>159646.01</v>
                </pt>
                <pt idx="10">
                  <v>141040.22</v>
                </pt>
              </numCache>
            </numRef>
          </val>
        </ser>
        <ser>
          <idx val="3"/>
          <order val="1"/>
          <tx>
            <strRef>
              <f>'31 Oct - 06 Nov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Oct - 06 Nov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Oct - 06 Nov 2022'!$E$5:$E$15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Nov - 13 Nov  2022 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'!$B$5:$B$15</f>
              <numCache>
                <formatCode>#,##0.00</formatCode>
                <ptCount val="11"/>
                <pt idx="0">
                  <v>336758.14</v>
                </pt>
                <pt idx="1">
                  <v>220235.36</v>
                </pt>
                <pt idx="2">
                  <v>196319.56</v>
                </pt>
                <pt idx="3">
                  <v>121044.86</v>
                </pt>
                <pt idx="4">
                  <v>207860.17</v>
                </pt>
                <pt idx="5">
                  <v>206956.47</v>
                </pt>
                <pt idx="6">
                  <v>131127.53</v>
                </pt>
                <pt idx="7">
                  <v>182201.77</v>
                </pt>
                <pt idx="8">
                  <v>157829.48</v>
                </pt>
                <pt idx="9">
                  <v>151265.91</v>
                </pt>
                <pt idx="10">
                  <v>119884.4</v>
                </pt>
              </numCache>
            </numRef>
          </val>
        </ser>
        <ser>
          <idx val="3"/>
          <order val="1"/>
          <tx>
            <strRef>
              <f>'07 Nov - 13 Nov  2022 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Nov - 13 Nov  2022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Nov - 13 Nov  2022 '!$E$5:$E$15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Nov - 20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2022'!$B$5:$B$15</f>
              <numCache>
                <formatCode>#,##0.00</formatCode>
                <ptCount val="11"/>
                <pt idx="0">
                  <v>243627.61</v>
                </pt>
                <pt idx="1">
                  <v>244982.86</v>
                </pt>
                <pt idx="2">
                  <v>213466.9</v>
                </pt>
                <pt idx="3">
                  <v>149721.48</v>
                </pt>
                <pt idx="4">
                  <v>205442.02</v>
                </pt>
                <pt idx="5">
                  <v>225543.9</v>
                </pt>
                <pt idx="6">
                  <v>138644.67</v>
                </pt>
                <pt idx="7">
                  <v>192337.39</v>
                </pt>
                <pt idx="8">
                  <v>157111.86</v>
                </pt>
                <pt idx="9">
                  <v>163525.03</v>
                </pt>
                <pt idx="10">
                  <v>149318.93</v>
                </pt>
              </numCache>
            </numRef>
          </val>
        </ser>
        <ser>
          <idx val="3"/>
          <order val="1"/>
          <tx>
            <strRef>
              <f>'14 Nov - 20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Nov - 20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Nov - 20 Nov  2022'!$E$5:$E$15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'21 Nov - 27 Nov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2022'!$B$5:$B$15</f>
              <numCache>
                <formatCode>#,##0.00</formatCode>
                <ptCount val="11"/>
                <pt idx="0">
                  <v>249994.6</v>
                </pt>
                <pt idx="1">
                  <v>237635.66</v>
                </pt>
                <pt idx="2">
                  <v>230492.54</v>
                </pt>
                <pt idx="3">
                  <v>128763.54</v>
                </pt>
                <pt idx="4">
                  <v>205833.28</v>
                </pt>
                <pt idx="5">
                  <v>215357.09</v>
                </pt>
                <pt idx="6">
                  <v>162221.22</v>
                </pt>
                <pt idx="7">
                  <v>209808.55</v>
                </pt>
                <pt idx="8">
                  <v>172334.61</v>
                </pt>
                <pt idx="9">
                  <v>158904.88</v>
                </pt>
                <pt idx="10">
                  <v>160007.63</v>
                </pt>
              </numCache>
            </numRef>
          </val>
        </ser>
        <ser>
          <idx val="3"/>
          <order val="1"/>
          <tx>
            <strRef>
              <f>'21 Nov - 27 Nov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'21 Nov - 27 Nov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'21 Nov - 27 Nov  2022'!$E$5:$E$15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9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'28 Nov - 04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2022'!$B$5:$B$15</f>
              <numCache>
                <formatCode>#,##0.00</formatCode>
                <ptCount val="11"/>
                <pt idx="0">
                  <v>285667.41</v>
                </pt>
                <pt idx="1">
                  <v>241715.58</v>
                </pt>
                <pt idx="2">
                  <v>248794.84</v>
                </pt>
                <pt idx="3">
                  <v>163499.22</v>
                </pt>
                <pt idx="4">
                  <v>231934.4</v>
                </pt>
                <pt idx="5">
                  <v>313779.59</v>
                </pt>
                <pt idx="6">
                  <v>188003.06</v>
                </pt>
                <pt idx="7">
                  <v>222526.87</v>
                </pt>
                <pt idx="8">
                  <v>196663.77</v>
                </pt>
                <pt idx="9">
                  <v>178420.43</v>
                </pt>
                <pt idx="10">
                  <v>138208.69</v>
                </pt>
              </numCache>
            </numRef>
          </val>
        </ser>
        <ser>
          <idx val="3"/>
          <order val="1"/>
          <tx>
            <strRef>
              <f>'28 Nov - 04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'28 Nov - 04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'28 Nov - 04 Dec  2022'!$E$5:$E$15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'5 Dec - 11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2022'!$B$5:$B$15</f>
              <numCache>
                <formatCode>#,##0.00</formatCode>
                <ptCount val="11"/>
                <pt idx="0">
                  <v>316746.1</v>
                </pt>
                <pt idx="1">
                  <v>255825.42</v>
                </pt>
                <pt idx="2">
                  <v>299885.07</v>
                </pt>
                <pt idx="3">
                  <v>187699.08</v>
                </pt>
                <pt idx="4">
                  <v>236228.94</v>
                </pt>
                <pt idx="5">
                  <v>472242.15</v>
                </pt>
                <pt idx="6">
                  <v>196747.98</v>
                </pt>
                <pt idx="7">
                  <v>249991.27</v>
                </pt>
                <pt idx="8">
                  <v>219139.93</v>
                </pt>
                <pt idx="9">
                  <v>195308.32</v>
                </pt>
                <pt idx="10">
                  <v>163235.68</v>
                </pt>
              </numCache>
            </numRef>
          </val>
        </ser>
        <ser>
          <idx val="3"/>
          <order val="1"/>
          <tx>
            <strRef>
              <f>'5 Dec - 11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'5 Dec - 11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'5 Dec - 11 Dec  2022'!$E$5:$E$15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Dec - 18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2022'!$B$5:$B$15</f>
              <numCache>
                <formatCode>#,##0.00</formatCode>
                <ptCount val="11"/>
                <pt idx="0">
                  <v>531765.01</v>
                </pt>
                <pt idx="1">
                  <v>258692</v>
                </pt>
                <pt idx="2">
                  <v>279468.55</v>
                </pt>
                <pt idx="3">
                  <v>185160.1</v>
                </pt>
                <pt idx="4">
                  <v>220919.26</v>
                </pt>
                <pt idx="5">
                  <v>472314.1</v>
                </pt>
                <pt idx="6">
                  <v>168387.31</v>
                </pt>
                <pt idx="7">
                  <v>249752.54</v>
                </pt>
                <pt idx="8">
                  <v>202404.23</v>
                </pt>
                <pt idx="9">
                  <v>190583.74</v>
                </pt>
                <pt idx="10">
                  <v>199997.88</v>
                </pt>
              </numCache>
            </numRef>
          </val>
        </ser>
        <ser>
          <idx val="3"/>
          <order val="1"/>
          <tx>
            <strRef>
              <f>'12 Dec - 18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Dec - 18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Dec - 18 Dec  2022'!$E$5:$E$15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Dec - 25 Dec  2022'!$B$3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2022'!$B$5:$B$15</f>
              <numCache>
                <formatCode>#,##0.00</formatCode>
                <ptCount val="11"/>
                <pt idx="0">
                  <v>753851.76</v>
                </pt>
                <pt idx="1">
                  <v>262332.98</v>
                </pt>
                <pt idx="2">
                  <v>324105.99</v>
                </pt>
                <pt idx="3">
                  <v>179927.33</v>
                </pt>
                <pt idx="4">
                  <v>252958.38</v>
                </pt>
                <pt idx="5">
                  <v>555577.92</v>
                </pt>
                <pt idx="6">
                  <v>142448.66</v>
                </pt>
                <pt idx="7">
                  <v>236135.13</v>
                </pt>
                <pt idx="8">
                  <v>208318.73</v>
                </pt>
                <pt idx="9">
                  <v>171701.27</v>
                </pt>
                <pt idx="10">
                  <v>176180.25</v>
                </pt>
              </numCache>
            </numRef>
          </val>
        </ser>
        <ser>
          <idx val="3"/>
          <order val="1"/>
          <tx>
            <strRef>
              <f>'19 Dec - 25 Dec  2022'!$E$3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Dec - 25 Dec  2022'!$A$5:$A$15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Dec - 25 Dec  2022'!$E$5:$E$15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Dec - 01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2023'!$B$5:$B$15</f>
              <numCache>
                <formatCode>#,##0.00</formatCode>
                <ptCount val="11"/>
                <pt idx="0">
                  <v>1055996.24</v>
                </pt>
                <pt idx="1">
                  <v>193464.29</v>
                </pt>
                <pt idx="2">
                  <v>231394.79</v>
                </pt>
                <pt idx="3">
                  <v>120914.87</v>
                </pt>
                <pt idx="4">
                  <v>147743.62</v>
                </pt>
                <pt idx="5">
                  <v>394039.6</v>
                </pt>
                <pt idx="6">
                  <v>104594.63</v>
                </pt>
                <pt idx="7">
                  <v>164356.99</v>
                </pt>
                <pt idx="8">
                  <v>146821.74</v>
                </pt>
                <pt idx="9">
                  <v>114168.13</v>
                </pt>
                <pt idx="10">
                  <v>114185.38</v>
                </pt>
              </numCache>
            </numRef>
          </val>
        </ser>
        <ser>
          <idx val="3"/>
          <order val="1"/>
          <tx>
            <strRef>
              <f>'26 Dec - 01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Dec - 01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Dec - 01 Jan 2023'!$E$5:$E$15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0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'02 Jan - 08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2023'!$B$5:$B$15</f>
              <numCache>
                <formatCode>#,##0.00</formatCode>
                <ptCount val="11"/>
                <pt idx="0">
                  <v>1359614.32</v>
                </pt>
                <pt idx="1">
                  <v>213926.58</v>
                </pt>
                <pt idx="2">
                  <v>227415.57</v>
                </pt>
                <pt idx="3">
                  <v>133084.52</v>
                </pt>
                <pt idx="4">
                  <v>184636.96</v>
                </pt>
                <pt idx="5">
                  <v>330942.74</v>
                </pt>
                <pt idx="6">
                  <v>108000.89</v>
                </pt>
                <pt idx="7">
                  <v>179247.74</v>
                </pt>
                <pt idx="8">
                  <v>189985.58</v>
                </pt>
                <pt idx="9">
                  <v>142441.73</v>
                </pt>
                <pt idx="10">
                  <v>125980.13</v>
                </pt>
              </numCache>
            </numRef>
          </val>
        </ser>
        <ser>
          <idx val="3"/>
          <order val="1"/>
          <tx>
            <strRef>
              <f>'02 Jan - 08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'02 Jan - 08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'02 Jan - 08 Jan 2023'!$E$5:$E$15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'09 Jan - 15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2023'!$B$5:$B$15</f>
              <numCache>
                <formatCode>#,##0.00</formatCode>
                <ptCount val="11"/>
                <pt idx="0">
                  <v>972309.74</v>
                </pt>
                <pt idx="1">
                  <v>246681.54</v>
                </pt>
                <pt idx="2">
                  <v>316128.72</v>
                </pt>
                <pt idx="3">
                  <v>123062.7</v>
                </pt>
                <pt idx="4">
                  <v>205789.6</v>
                </pt>
                <pt idx="5">
                  <v>265487.41</v>
                </pt>
                <pt idx="6">
                  <v>116270.71</v>
                </pt>
                <pt idx="7">
                  <v>195028.81</v>
                </pt>
                <pt idx="8">
                  <v>178940.87</v>
                </pt>
                <pt idx="9">
                  <v>93447.07000000001</v>
                </pt>
                <pt idx="10">
                  <v>142237.48</v>
                </pt>
              </numCache>
            </numRef>
          </val>
        </ser>
        <ser>
          <idx val="3"/>
          <order val="1"/>
          <tx>
            <strRef>
              <f>'09 Jan - 15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'09 Jan - 15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'09 Jan - 15 Jan 2023'!$E$5:$E$15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'16 Jan - 22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2023'!$B$5:$B$15</f>
              <numCache>
                <formatCode>#,##0.00</formatCode>
                <ptCount val="11"/>
                <pt idx="0">
                  <v>487519.46</v>
                </pt>
                <pt idx="1">
                  <v>216580.11</v>
                </pt>
                <pt idx="2">
                  <v>240800.82</v>
                </pt>
                <pt idx="3">
                  <v>146081.28</v>
                </pt>
                <pt idx="4">
                  <v>195040.42</v>
                </pt>
                <pt idx="5">
                  <v>197824.33</v>
                </pt>
                <pt idx="6">
                  <v>104157.84</v>
                </pt>
                <pt idx="7">
                  <v>220940.37</v>
                </pt>
                <pt idx="8">
                  <v>172359.56</v>
                </pt>
                <pt idx="9">
                  <v>125133.94</v>
                </pt>
                <pt idx="10">
                  <v>131101.34</v>
                </pt>
              </numCache>
            </numRef>
          </val>
        </ser>
        <ser>
          <idx val="3"/>
          <order val="1"/>
          <tx>
            <strRef>
              <f>'16 Jan - 22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'16 Jan - 22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'16 Jan - 22 Jan 2023'!$E$5:$E$15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'23 Jan - 29 Jan 2023'!$B$3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2023'!$B$5:$B$15</f>
              <numCache>
                <formatCode>#,##0.00</formatCode>
                <ptCount val="11"/>
                <pt idx="0">
                  <v>320410.36</v>
                </pt>
                <pt idx="1">
                  <v>224090.56</v>
                </pt>
                <pt idx="2">
                  <v>237247.77</v>
                </pt>
                <pt idx="3">
                  <v>126608.49</v>
                </pt>
                <pt idx="4">
                  <v>196915.12</v>
                </pt>
                <pt idx="5">
                  <v>206881.72</v>
                </pt>
                <pt idx="6">
                  <v>111387.59</v>
                </pt>
                <pt idx="7">
                  <v>211949.58</v>
                </pt>
                <pt idx="8">
                  <v>164303.17</v>
                </pt>
                <pt idx="9">
                  <v>144611.63</v>
                </pt>
                <pt idx="10">
                  <v>135425.29</v>
                </pt>
              </numCache>
            </numRef>
          </val>
        </ser>
        <ser>
          <idx val="3"/>
          <order val="1"/>
          <tx>
            <strRef>
              <f>'23 Jan - 29 Jan 2023'!$E$3</f>
              <strCache>
                <ptCount val="1"/>
                <pt idx="0">
                  <v>T/Over Net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'23 Jan - 29 Jan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'23 Jan - 29 Jan 2023'!$E$5:$E$15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'30 Jan - 05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2023'!$C$5:$C$15</f>
              <numCache>
                <formatCode>#,##0.00</formatCode>
                <ptCount val="11"/>
                <pt idx="0">
                  <v>169180.6</v>
                </pt>
                <pt idx="1">
                  <v>255687.4</v>
                </pt>
                <pt idx="2">
                  <v>261146.62</v>
                </pt>
                <pt idx="3">
                  <v>147008.84</v>
                </pt>
                <pt idx="4">
                  <v>233762.21</v>
                </pt>
                <pt idx="5">
                  <v>245906.86</v>
                </pt>
                <pt idx="6">
                  <v>136294.53</v>
                </pt>
                <pt idx="7">
                  <v>229617.68</v>
                </pt>
                <pt idx="8">
                  <v>183536.42</v>
                </pt>
                <pt idx="9">
                  <v>140083.12</v>
                </pt>
                <pt idx="10">
                  <v>159223</v>
                </pt>
              </numCache>
            </numRef>
          </val>
        </ser>
        <ser>
          <idx val="3"/>
          <order val="1"/>
          <tx>
            <strRef>
              <f>'30 Jan - 05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'30 Jan - 05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'30 Jan - 05 Feb 2023'!$B$5:$B$15</f>
              <numCache>
                <formatCode>#,##0.00</formatCode>
                <ptCount val="11"/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1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Feb - 12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2023'!$C$5:$C$15</f>
              <numCache>
                <formatCode>#,##0.00</formatCode>
                <ptCount val="11"/>
                <pt idx="0">
                  <v>298945.81</v>
                </pt>
                <pt idx="1">
                  <v>242039.42</v>
                </pt>
                <pt idx="2">
                  <v>236290.59</v>
                </pt>
                <pt idx="3">
                  <v>129509</v>
                </pt>
                <pt idx="4">
                  <v>217415.04</v>
                </pt>
                <pt idx="5">
                  <v>229895.69</v>
                </pt>
                <pt idx="6">
                  <v>136438.83</v>
                </pt>
                <pt idx="7">
                  <v>214787.51</v>
                </pt>
                <pt idx="8">
                  <v>191737.13</v>
                </pt>
                <pt idx="9">
                  <v>178528.49</v>
                </pt>
                <pt idx="10">
                  <v>164266.12</v>
                </pt>
              </numCache>
            </numRef>
          </val>
        </ser>
        <ser>
          <idx val="3"/>
          <order val="1"/>
          <tx>
            <strRef>
              <f>'6 Feb - 12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Feb - 12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Feb - 12 Feb 2023'!$B$5:$B$15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Feb - 19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2023'!$C$5:$C$15</f>
              <numCache>
                <formatCode>#,##0.00</formatCode>
                <ptCount val="11"/>
                <pt idx="0">
                  <v>327318.79</v>
                </pt>
                <pt idx="1">
                  <v>225755.62</v>
                </pt>
                <pt idx="2">
                  <v>218640.04</v>
                </pt>
                <pt idx="3">
                  <v>128595.12</v>
                </pt>
                <pt idx="4">
                  <v>198421.22</v>
                </pt>
                <pt idx="5">
                  <v>158185.78</v>
                </pt>
                <pt idx="6">
                  <v>146668.79</v>
                </pt>
                <pt idx="7">
                  <v>217602.7</v>
                </pt>
                <pt idx="8">
                  <v>176484.39</v>
                </pt>
                <pt idx="9">
                  <v>137720.98</v>
                </pt>
                <pt idx="10">
                  <v>154324.73</v>
                </pt>
              </numCache>
            </numRef>
          </val>
        </ser>
        <ser>
          <idx val="3"/>
          <order val="1"/>
          <tx>
            <strRef>
              <f>'13 Feb - 19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Feb - 19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Feb - 19 Feb 2023'!$B$5:$B$15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Feb - 26 Feb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2023'!$C$5:$C$15</f>
              <numCache>
                <formatCode>#,##0.00</formatCode>
                <ptCount val="11"/>
                <pt idx="0">
                  <v>365936.04</v>
                </pt>
                <pt idx="1">
                  <v>239113.47</v>
                </pt>
                <pt idx="2">
                  <v>275797.64</v>
                </pt>
                <pt idx="3">
                  <v>174381.63</v>
                </pt>
                <pt idx="4">
                  <v>286745.38</v>
                </pt>
                <pt idx="5">
                  <v>203270.01</v>
                </pt>
                <pt idx="6">
                  <v>161376.59</v>
                </pt>
                <pt idx="7">
                  <v>229013.27</v>
                </pt>
                <pt idx="8">
                  <v>186426.95</v>
                </pt>
                <pt idx="9">
                  <v>180224.26</v>
                </pt>
                <pt idx="10">
                  <v>220209.79</v>
                </pt>
              </numCache>
            </numRef>
          </val>
        </ser>
        <ser>
          <idx val="3"/>
          <order val="1"/>
          <tx>
            <strRef>
              <f>'20 Feb - 26 Feb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Feb - 26 Feb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Feb - 26 Feb 2023'!$B$5:$B$15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Feb - 5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2023'!$C$5:$C$15</f>
              <numCache>
                <formatCode>#,##0.00</formatCode>
                <ptCount val="11"/>
                <pt idx="0">
                  <v>296067.74</v>
                </pt>
                <pt idx="1">
                  <v>236901.33</v>
                </pt>
                <pt idx="2">
                  <v>244342.49</v>
                </pt>
                <pt idx="3">
                  <v>160772.2</v>
                </pt>
                <pt idx="4">
                  <v>232807.6</v>
                </pt>
                <pt idx="5">
                  <v>132305.98</v>
                </pt>
                <pt idx="6">
                  <v>142849.51</v>
                </pt>
                <pt idx="7">
                  <v>239905.45</v>
                </pt>
                <pt idx="8">
                  <v>206239.3</v>
                </pt>
                <pt idx="9">
                  <v>133573.72</v>
                </pt>
                <pt idx="10">
                  <v>149964.4</v>
                </pt>
              </numCache>
            </numRef>
          </val>
        </ser>
        <ser>
          <idx val="3"/>
          <order val="1"/>
          <tx>
            <strRef>
              <f>'27 Feb - 5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Feb - 5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Feb - 5 Mar 2023'!$B$5:$B$15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'6 Mar - 12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'!$C$5:$C$15</f>
              <numCache>
                <formatCode>#,##0.00</formatCode>
                <ptCount val="11"/>
                <pt idx="0">
                  <v>289319.99</v>
                </pt>
                <pt idx="1">
                  <v>254321.2</v>
                </pt>
                <pt idx="2">
                  <v>215892.02</v>
                </pt>
                <pt idx="3">
                  <v>151281.76</v>
                </pt>
                <pt idx="4">
                  <v>246719.88</v>
                </pt>
                <pt idx="5">
                  <v>0</v>
                </pt>
                <pt idx="6">
                  <v>156534.45</v>
                </pt>
                <pt idx="7">
                  <v>199494.54</v>
                </pt>
                <pt idx="8">
                  <v>186765.79</v>
                </pt>
                <pt idx="9">
                  <v>139177.57</v>
                </pt>
                <pt idx="10">
                  <v>163346.59</v>
                </pt>
              </numCache>
            </numRef>
          </val>
        </ser>
        <ser>
          <idx val="3"/>
          <order val="1"/>
          <tx>
            <strRef>
              <f>'6 Mar - 12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'6 Mar - 12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'6 Mar - 12 Mar 2023 '!$B$5:$B$15</f>
              <numCache>
                <formatCode>General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2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'13 Mar - 19 Mar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2023'!$C$5:$C$15</f>
              <numCache>
                <formatCode>#,##0.00</formatCode>
                <ptCount val="11"/>
                <pt idx="0">
                  <v>258961.91</v>
                </pt>
                <pt idx="1">
                  <v>204232.59</v>
                </pt>
                <pt idx="2">
                  <v>236925.02</v>
                </pt>
                <pt idx="3">
                  <v>124637.15</v>
                </pt>
                <pt idx="4">
                  <v>198247.33</v>
                </pt>
                <pt idx="6">
                  <v>139087.29</v>
                </pt>
                <pt idx="7">
                  <v>212428.92</v>
                </pt>
                <pt idx="8">
                  <v>167341.58</v>
                </pt>
                <pt idx="9">
                  <v>146090.99</v>
                </pt>
                <pt idx="10">
                  <v>147064.92</v>
                </pt>
              </numCache>
            </numRef>
          </val>
        </ser>
        <ser>
          <idx val="3"/>
          <order val="1"/>
          <tx>
            <strRef>
              <f>'13 Mar - 19 Mar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'13 Mar - 19 Mar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'13 Mar - 19 Mar 2023'!$B$5:$B$15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154427.39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'20 Mar - 26 Mar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'!$C$5:$C$15</f>
              <numCache>
                <formatCode>#,##0.00</formatCode>
                <ptCount val="11"/>
                <pt idx="0">
                  <v>340614.61</v>
                </pt>
                <pt idx="1">
                  <v>202176.17</v>
                </pt>
                <pt idx="2">
                  <v>199957.65</v>
                </pt>
                <pt idx="3">
                  <v>124761.94</v>
                </pt>
                <pt idx="4">
                  <v>207492.95</v>
                </pt>
                <pt idx="6">
                  <v>139087.29</v>
                </pt>
                <pt idx="7">
                  <v>186789.8</v>
                </pt>
                <pt idx="8">
                  <v>171118.86</v>
                </pt>
                <pt idx="9">
                  <v>125512.51</v>
                </pt>
                <pt idx="10">
                  <v>142396.83</v>
                </pt>
              </numCache>
            </numRef>
          </val>
        </ser>
        <ser>
          <idx val="3"/>
          <order val="1"/>
          <tx>
            <strRef>
              <f>'20 Mar - 26 Mar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'20 Mar - 26 Mar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'20 Mar - 26 Mar 2023 '!$B$5:$B$15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'27 Mar - 02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'!$C$5:$C$15</f>
              <numCache>
                <formatCode>#,##0.00</formatCode>
                <ptCount val="11"/>
                <pt idx="0">
                  <v>361253.2</v>
                </pt>
                <pt idx="1">
                  <v>245800.43</v>
                </pt>
                <pt idx="2">
                  <v>284143.42</v>
                </pt>
                <pt idx="3">
                  <v>147747.95</v>
                </pt>
                <pt idx="4">
                  <v>210366.12</v>
                </pt>
                <pt idx="6">
                  <v>147740.61</v>
                </pt>
                <pt idx="7">
                  <v>194252</v>
                </pt>
                <pt idx="8">
                  <v>174871.18</v>
                </pt>
                <pt idx="9">
                  <v>161782.76</v>
                </pt>
                <pt idx="10">
                  <v>119939.62</v>
                </pt>
              </numCache>
            </numRef>
          </val>
        </ser>
        <ser>
          <idx val="3"/>
          <order val="1"/>
          <tx>
            <strRef>
              <f>'27 Mar - 02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'27 Mar - 02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'27 Mar - 02 April 2023  '!$B$5:$B$15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Mar - 09 April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'!$C$5:$C$15</f>
              <numCache>
                <formatCode>#,##0.00</formatCode>
                <ptCount val="11"/>
                <pt idx="0">
                  <v>492195.44</v>
                </pt>
                <pt idx="1">
                  <v>253188.68</v>
                </pt>
                <pt idx="2">
                  <v>252951.79</v>
                </pt>
                <pt idx="3">
                  <v>129792.93</v>
                </pt>
                <pt idx="4">
                  <v>221228.31</v>
                </pt>
                <pt idx="6">
                  <v>162449.88</v>
                </pt>
                <pt idx="7">
                  <v>219615.21</v>
                </pt>
                <pt idx="8">
                  <v>185089.09</v>
                </pt>
                <pt idx="9">
                  <v>144912.42</v>
                </pt>
                <pt idx="10">
                  <v>133294.56</v>
                </pt>
              </numCache>
            </numRef>
          </val>
        </ser>
        <ser>
          <idx val="3"/>
          <order val="1"/>
          <tx>
            <strRef>
              <f>'03 Mar - 09 April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Mar - 09 April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Mar - 09 April 2023  '!$B$5:$B$15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Mar - 16 April 2023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'!$C$5:$C$15</f>
              <numCache>
                <formatCode>#,##0.00</formatCode>
                <ptCount val="11"/>
                <pt idx="0">
                  <v>708778.15</v>
                </pt>
                <pt idx="1">
                  <v>214153.71</v>
                </pt>
                <pt idx="2">
                  <v>251090.99</v>
                </pt>
                <pt idx="3">
                  <v>158504.13</v>
                </pt>
                <pt idx="4">
                  <v>180229.59</v>
                </pt>
                <pt idx="6">
                  <v>122768.07</v>
                </pt>
                <pt idx="7">
                  <v>147748.18</v>
                </pt>
                <pt idx="8">
                  <v>166128.23</v>
                </pt>
                <pt idx="9">
                  <v>132525.17</v>
                </pt>
                <pt idx="10">
                  <v>96961.12</v>
                </pt>
              </numCache>
            </numRef>
          </val>
        </ser>
        <ser>
          <idx val="3"/>
          <order val="1"/>
          <tx>
            <strRef>
              <f>'10 Mar - 16 April 2023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Mar - 16 April 2023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Mar - 16 April 2023   '!$B$5:$B$15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3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Mar - 23 April 2023  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'!$C$5:$C$15</f>
              <numCache>
                <formatCode>#,##0.00</formatCode>
                <ptCount val="11"/>
                <pt idx="0">
                  <v>347623.37</v>
                </pt>
                <pt idx="1">
                  <v>251695.12</v>
                </pt>
                <pt idx="2">
                  <v>251120.6</v>
                </pt>
                <pt idx="3">
                  <v>134829.23</v>
                </pt>
                <pt idx="4">
                  <v>223820.94</v>
                </pt>
                <pt idx="6">
                  <v>153246.05</v>
                </pt>
                <pt idx="7">
                  <v>205078.6</v>
                </pt>
                <pt idx="8">
                  <v>172027.86</v>
                </pt>
                <pt idx="9">
                  <v>130065.22</v>
                </pt>
                <pt idx="10">
                  <v>136471.6</v>
                </pt>
              </numCache>
            </numRef>
          </val>
        </ser>
        <ser>
          <idx val="3"/>
          <order val="1"/>
          <tx>
            <strRef>
              <f>'17 Mar - 23 April 2023  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Mar - 23 April 2023  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Mar - 23 April 2023    '!$B$5:$B$15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APRIL -30 April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'!$C$5:$C$15</f>
              <numCache>
                <formatCode>#,##0.00</formatCode>
                <ptCount val="11"/>
                <pt idx="0">
                  <v>256064.54</v>
                </pt>
                <pt idx="1">
                  <v>152531.62</v>
                </pt>
                <pt idx="2">
                  <v>214387.67</v>
                </pt>
                <pt idx="3">
                  <v>168522.9</v>
                </pt>
                <pt idx="4">
                  <v>222599.19</v>
                </pt>
                <pt idx="6">
                  <v>158992.33</v>
                </pt>
                <pt idx="7">
                  <v>208196.26</v>
                </pt>
                <pt idx="8">
                  <v>161350.95</v>
                </pt>
                <pt idx="9">
                  <v>137911.5</v>
                </pt>
                <pt idx="10">
                  <v>147084.65</v>
                </pt>
              </numCache>
            </numRef>
          </val>
        </ser>
        <ser>
          <idx val="3"/>
          <order val="1"/>
          <tx>
            <strRef>
              <f>'24 APRIL -30 April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APRIL -30 April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APRIL -30 April 2023 '!$B$5:$B$15</f>
              <numCache>
                <formatCode>General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'01 May- 07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'!$C$5:$C$15</f>
              <numCache>
                <formatCode>#,##0.00</formatCode>
                <ptCount val="11"/>
                <pt idx="0">
                  <v>430839.24</v>
                </pt>
                <pt idx="1">
                  <v>263890.23</v>
                </pt>
                <pt idx="2">
                  <v>297212.74</v>
                </pt>
                <pt idx="3">
                  <v>143917.61</v>
                </pt>
                <pt idx="4">
                  <v>224112.06</v>
                </pt>
                <pt idx="6">
                  <v>158678.04</v>
                </pt>
                <pt idx="7">
                  <v>218816.35</v>
                </pt>
                <pt idx="8">
                  <v>164585.42</v>
                </pt>
                <pt idx="9">
                  <v>160577.61</v>
                </pt>
                <pt idx="10">
                  <v>139321.73</v>
                </pt>
              </numCache>
            </numRef>
          </val>
        </ser>
        <ser>
          <idx val="3"/>
          <order val="1"/>
          <tx>
            <strRef>
              <f>'01 May- 07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'01 May- 07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'01 May- 07 May 2023 '!$B$5:$B$15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'08 May - 14 May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2023'!$C$5:$C$15</f>
              <numCache>
                <formatCode>#,##0.00</formatCode>
                <ptCount val="11"/>
                <pt idx="0">
                  <v>282242.64</v>
                </pt>
                <pt idx="1">
                  <v>144807.55</v>
                </pt>
                <pt idx="2">
                  <v>205941.29</v>
                </pt>
                <pt idx="3">
                  <v>128699.4</v>
                </pt>
                <pt idx="4">
                  <v>175734.13</v>
                </pt>
                <pt idx="6">
                  <v>130160.48</v>
                </pt>
                <pt idx="7">
                  <v>186722.27</v>
                </pt>
                <pt idx="8">
                  <v>151512.03</v>
                </pt>
                <pt idx="9">
                  <v>133343.68</v>
                </pt>
                <pt idx="10">
                  <v>148004.61</v>
                </pt>
              </numCache>
            </numRef>
          </val>
        </ser>
        <ser>
          <idx val="3"/>
          <order val="1"/>
          <tx>
            <strRef>
              <f>'08 May - 14 May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'08 May - 14 May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'08 May - 14 May 2023'!$B$5:$B$15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'15 May - 21 May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'!$C$5:$C$15</f>
              <numCache>
                <formatCode>#,##0.00</formatCode>
                <ptCount val="11"/>
                <pt idx="0">
                  <v>235264.63</v>
                </pt>
                <pt idx="1">
                  <v>260508.36</v>
                </pt>
                <pt idx="2">
                  <v>260704.58</v>
                </pt>
                <pt idx="3">
                  <v>146820.56</v>
                </pt>
                <pt idx="4">
                  <v>254960.91</v>
                </pt>
                <pt idx="6">
                  <v>151374.37</v>
                </pt>
                <pt idx="7">
                  <v>205520.91</v>
                </pt>
                <pt idx="8">
                  <v>176783.39</v>
                </pt>
                <pt idx="9">
                  <v>161314.92</v>
                </pt>
                <pt idx="10">
                  <v>158305.73</v>
                </pt>
              </numCache>
            </numRef>
          </val>
        </ser>
        <ser>
          <idx val="3"/>
          <order val="1"/>
          <tx>
            <strRef>
              <f>'15 May - 21 May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'15 May - 21 May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'15 May - 21 May 2023 '!$B$5:$B$15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formatCode>General</formatCode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4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'22 May - 28 May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'!$C$5:$C$15</f>
              <numCache>
                <formatCode>#,##0.00</formatCode>
                <ptCount val="11"/>
                <pt idx="0">
                  <v>210107.49</v>
                </pt>
                <pt idx="1">
                  <v>206591.3</v>
                </pt>
                <pt idx="2">
                  <v>208209.65</v>
                </pt>
                <pt idx="3">
                  <v>123227.5</v>
                </pt>
                <pt idx="4">
                  <v>208620.72</v>
                </pt>
                <pt idx="6">
                  <v>128339.83</v>
                </pt>
                <pt idx="7">
                  <v>205968.85</v>
                </pt>
                <pt idx="8">
                  <v>139225.64</v>
                </pt>
                <pt idx="9">
                  <v>158859.58</v>
                </pt>
                <pt idx="10">
                  <v>147176.59</v>
                </pt>
              </numCache>
            </numRef>
          </val>
        </ser>
        <ser>
          <idx val="3"/>
          <order val="1"/>
          <tx>
            <strRef>
              <f>'22 May - 28 May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'22 May - 28 May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'22 May - 28 May 2023  '!$B$5:$B$15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'29 May - 04 June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'!$C$5:$C$15</f>
              <numCache>
                <formatCode>#,##0.00</formatCode>
                <ptCount val="11"/>
                <pt idx="0">
                  <v>200471.92</v>
                </pt>
                <pt idx="1">
                  <v>227736.26</v>
                </pt>
                <pt idx="2">
                  <v>234482.01</v>
                </pt>
                <pt idx="3">
                  <v>157775.58</v>
                </pt>
                <pt idx="4">
                  <v>201028.07</v>
                </pt>
                <pt idx="6">
                  <v>147804.75</v>
                </pt>
                <pt idx="7">
                  <v>221187.54</v>
                </pt>
                <pt idx="8">
                  <v>189414.41</v>
                </pt>
                <pt idx="9">
                  <v>142449.04</v>
                </pt>
                <pt idx="10">
                  <v>146686.49</v>
                </pt>
              </numCache>
            </numRef>
          </val>
        </ser>
        <ser>
          <idx val="3"/>
          <order val="1"/>
          <tx>
            <strRef>
              <f>'29 May - 04 June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'29 May - 04 June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'29 May - 04 June 2023  '!$B$5:$B$15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'05 June - 11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2023'!$C$5:$C$15</f>
              <numCache>
                <formatCode>#,##0.00</formatCode>
                <ptCount val="11"/>
                <pt idx="0">
                  <v>210413.06</v>
                </pt>
                <pt idx="1">
                  <v>226130.92</v>
                </pt>
                <pt idx="2">
                  <v>229601.65</v>
                </pt>
                <pt idx="3">
                  <v>128627.21</v>
                </pt>
                <pt idx="4">
                  <v>206815.27</v>
                </pt>
                <pt idx="6">
                  <v>153031.51</v>
                </pt>
                <pt idx="7">
                  <v>206815.27</v>
                </pt>
                <pt idx="8">
                  <v>178077.76</v>
                </pt>
                <pt idx="9">
                  <v>159860.92</v>
                </pt>
                <pt idx="10">
                  <v>139059.18</v>
                </pt>
              </numCache>
            </numRef>
          </val>
        </ser>
        <ser>
          <idx val="3"/>
          <order val="1"/>
          <tx>
            <strRef>
              <f>'05 June - 11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'05 June - 11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'05 June - 11 June 2023'!$B$5:$B$15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'12 June - 18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2023'!$C$5:$C$15</f>
              <numCache>
                <formatCode>#,##0.00</formatCode>
                <ptCount val="11"/>
                <pt idx="0">
                  <v>181478.97</v>
                </pt>
                <pt idx="1">
                  <v>199057.23</v>
                </pt>
                <pt idx="2">
                  <v>192032.06</v>
                </pt>
                <pt idx="3">
                  <v>116136.99</v>
                </pt>
                <pt idx="4">
                  <v>165245.82</v>
                </pt>
                <pt idx="6">
                  <v>137563.87</v>
                </pt>
                <pt idx="7">
                  <v>187763.51</v>
                </pt>
                <pt idx="8">
                  <v>156087.17</v>
                </pt>
                <pt idx="9">
                  <v>126323.85</v>
                </pt>
                <pt idx="10">
                  <v>120731.9</v>
                </pt>
              </numCache>
            </numRef>
          </val>
        </ser>
        <ser>
          <idx val="3"/>
          <order val="1"/>
          <tx>
            <strRef>
              <f>'12 June - 18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'12 June - 18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'12 June - 18 June 2023'!$B$5:$B$15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'19 June - 25 June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2023'!$C$5:$C$15</f>
              <numCache>
                <formatCode>#,##0.00</formatCode>
                <ptCount val="11"/>
                <pt idx="0">
                  <v>243499.44</v>
                </pt>
                <pt idx="1">
                  <v>229137.44</v>
                </pt>
                <pt idx="2">
                  <v>302389.44</v>
                </pt>
                <pt idx="3">
                  <v>136813.03</v>
                </pt>
                <pt idx="4">
                  <v>192771.42</v>
                </pt>
                <pt idx="6">
                  <v>115294.34</v>
                </pt>
                <pt idx="7">
                  <v>185620.15</v>
                </pt>
                <pt idx="8">
                  <v>146978.96</v>
                </pt>
                <pt idx="9">
                  <v>147917.28</v>
                </pt>
                <pt idx="10">
                  <v>125594.26</v>
                </pt>
              </numCache>
            </numRef>
          </val>
        </ser>
        <ser>
          <idx val="3"/>
          <order val="1"/>
          <tx>
            <strRef>
              <f>'19 June - 25 June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'19 June - 25 June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'19 June - 25 June 2023'!$B$5:$B$15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5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'26 June - 2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2023'!$C$5:$C$15</f>
              <numCache>
                <formatCode>#,##0.00</formatCode>
                <ptCount val="11"/>
                <pt idx="0">
                  <v>221631.03</v>
                </pt>
                <pt idx="1">
                  <v>219847.95</v>
                </pt>
                <pt idx="2">
                  <v>263562.12</v>
                </pt>
                <pt idx="3">
                  <v>159785.89</v>
                </pt>
                <pt idx="4">
                  <v>199326.5</v>
                </pt>
                <pt idx="6">
                  <v>146351.63</v>
                </pt>
                <pt idx="7">
                  <v>200165.74</v>
                </pt>
                <pt idx="8">
                  <v>165920.05</v>
                </pt>
                <pt idx="9">
                  <v>146592.33</v>
                </pt>
                <pt idx="10">
                  <v>130797.48</v>
                </pt>
              </numCache>
            </numRef>
          </val>
        </ser>
        <ser>
          <idx val="3"/>
          <order val="1"/>
          <tx>
            <strRef>
              <f>'26 June - 2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'26 June - 2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'26 June - 2 July 2023'!$B$5:$B$15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'03 July - 9 July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'!$C$5:$C$15</f>
              <numCache>
                <formatCode>#,##0.00</formatCode>
                <ptCount val="11"/>
                <pt idx="0">
                  <v>333142.98</v>
                </pt>
                <pt idx="1">
                  <v>233802.48</v>
                </pt>
                <pt idx="2">
                  <v>300875.84</v>
                </pt>
                <pt idx="3">
                  <v>173301.53</v>
                </pt>
                <pt idx="4">
                  <v>236084.36</v>
                </pt>
                <pt idx="6">
                  <v>137926.81</v>
                </pt>
                <pt idx="7">
                  <v>195510.25</v>
                </pt>
                <pt idx="8">
                  <v>182997.95</v>
                </pt>
                <pt idx="9">
                  <v>138240.4</v>
                </pt>
                <pt idx="10">
                  <v>148648.96</v>
                </pt>
              </numCache>
            </numRef>
          </val>
        </ser>
        <ser>
          <idx val="3"/>
          <order val="1"/>
          <tx>
            <strRef>
              <f>'03 July - 9 July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'03 July - 9 July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'03 July - 9 July 2023 '!$B$5:$B$15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'10 July - 16 July 2023 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'!$C$5:$C$15</f>
              <numCache>
                <formatCode>#,##0.00</formatCode>
                <ptCount val="11"/>
                <pt idx="0">
                  <v>345609.59</v>
                </pt>
                <pt idx="1">
                  <v>209045.42</v>
                </pt>
                <pt idx="2">
                  <v>255099.92</v>
                </pt>
                <pt idx="4">
                  <v>193340.12</v>
                </pt>
                <pt idx="6">
                  <v>106095.74</v>
                </pt>
                <pt idx="7">
                  <v>221165.64</v>
                </pt>
                <pt idx="8">
                  <v>172931.57</v>
                </pt>
                <pt idx="9">
                  <v>144683.58</v>
                </pt>
                <pt idx="10">
                  <v>126682.94</v>
                </pt>
              </numCache>
            </numRef>
          </val>
        </ser>
        <ser>
          <idx val="3"/>
          <order val="1"/>
          <tx>
            <strRef>
              <f>'10 July - 16 July 2023 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'10 July - 16 July 2023 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'10 July - 16 July 2023  '!$B$5:$B$15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'17 July - 23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2023'!$C$5:$C$15</f>
              <numCache>
                <formatCode>#,##0.00</formatCode>
                <ptCount val="11"/>
                <pt idx="0">
                  <v>336127.2</v>
                </pt>
                <pt idx="1">
                  <v>248766.27</v>
                </pt>
                <pt idx="2">
                  <v>283042.15</v>
                </pt>
                <pt idx="4">
                  <v>238413.34</v>
                </pt>
                <pt idx="6">
                  <v>128332.05</v>
                </pt>
                <pt idx="7">
                  <v>230641.07</v>
                </pt>
                <pt idx="8">
                  <v>170480.68</v>
                </pt>
                <pt idx="9">
                  <v>140702.34</v>
                </pt>
                <pt idx="10">
                  <v>143628.35</v>
                </pt>
              </numCache>
            </numRef>
          </val>
        </ser>
        <ser>
          <idx val="3"/>
          <order val="1"/>
          <tx>
            <strRef>
              <f>'17 July - 23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'17 July - 23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'17 July - 23 July 2023'!$B$5:$B$15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'24 July - 30 July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2023'!$C$5:$C$15</f>
              <numCache>
                <formatCode>#,##0.00</formatCode>
                <ptCount val="11"/>
                <pt idx="0">
                  <v>245552.6</v>
                </pt>
                <pt idx="1">
                  <v>227209.77</v>
                </pt>
                <pt idx="2">
                  <v>252535.33</v>
                </pt>
                <pt idx="4">
                  <v>178117.45</v>
                </pt>
                <pt idx="6">
                  <v>152081.29</v>
                </pt>
                <pt idx="7">
                  <v>196594.01</v>
                </pt>
                <pt idx="8">
                  <v>161398.59</v>
                </pt>
                <pt idx="9">
                  <v>139638.43</v>
                </pt>
                <pt idx="10">
                  <v>143973.43</v>
                </pt>
              </numCache>
            </numRef>
          </val>
        </ser>
        <ser>
          <idx val="3"/>
          <order val="1"/>
          <tx>
            <strRef>
              <f>'24 July - 30 July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'24 July - 30 July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'24 July - 30 July 2023'!$B$5:$B$15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8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69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'31 August - 06 August 2023 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'!$C$5:$C$15</f>
              <numCache>
                <formatCode>#,##0.00</formatCode>
                <ptCount val="11"/>
                <pt idx="0">
                  <v>223716.88</v>
                </pt>
                <pt idx="1">
                  <v>252646.93</v>
                </pt>
                <pt idx="2">
                  <v>262968.59</v>
                </pt>
                <pt idx="4">
                  <v>241619.52</v>
                </pt>
                <pt idx="6">
                  <v>148795.95</v>
                </pt>
                <pt idx="7">
                  <v>245998.27</v>
                </pt>
                <pt idx="8">
                  <v>178310.37</v>
                </pt>
                <pt idx="9">
                  <v>189570.96</v>
                </pt>
                <pt idx="10">
                  <v>178531.81</v>
                </pt>
              </numCache>
            </numRef>
          </val>
        </ser>
        <ser>
          <idx val="3"/>
          <order val="1"/>
          <tx>
            <strRef>
              <f>'31 August - 06 August 2023 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'31 August - 06 August 2023 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'31 August - 06 August 2023 '!$B$5:$B$15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0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1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'07 August - 13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2023'!$C$5:$C$15</f>
              <numCache>
                <formatCode>#,##0.00</formatCode>
                <ptCount val="11"/>
                <pt idx="0">
                  <v>263188.61</v>
                </pt>
                <pt idx="1">
                  <v>215281.39</v>
                </pt>
                <pt idx="2">
                  <v>244637.43</v>
                </pt>
                <pt idx="4">
                  <v>184879.71</v>
                </pt>
                <pt idx="6">
                  <v>150790.1</v>
                </pt>
                <pt idx="7">
                  <v>199450.13</v>
                </pt>
                <pt idx="8">
                  <v>177417.58</v>
                </pt>
                <pt idx="9">
                  <v>181408.54</v>
                </pt>
                <pt idx="10">
                  <v>153048.52</v>
                </pt>
              </numCache>
            </numRef>
          </val>
        </ser>
        <ser>
          <idx val="3"/>
          <order val="1"/>
          <tx>
            <strRef>
              <f>'07 August - 13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'07 August - 13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'07 August - 13 August 2023'!$B$5:$B$15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2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3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'14  August - 20 August 2023'!$C$3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2023'!$C$5:$C$15</f>
              <numCache>
                <formatCode>#,##0.00</formatCode>
                <ptCount val="11"/>
                <pt idx="0">
                  <v>328440.5</v>
                </pt>
                <pt idx="1">
                  <v>210918.38</v>
                </pt>
                <pt idx="2">
                  <v>238718.61</v>
                </pt>
                <pt idx="4">
                  <v>193770.68</v>
                </pt>
                <pt idx="6">
                  <v>138646.25</v>
                </pt>
                <pt idx="7">
                  <v>200600.97</v>
                </pt>
                <pt idx="8">
                  <v>156547.88</v>
                </pt>
                <pt idx="9">
                  <v>143985.86</v>
                </pt>
                <pt idx="10">
                  <v>160438.11</v>
                </pt>
              </numCache>
            </numRef>
          </val>
        </ser>
        <ser>
          <idx val="3"/>
          <order val="1"/>
          <tx>
            <strRef>
              <f>'14  August - 20 August 2023'!$B$3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'14  August - 20 August 2023'!$A$5:$A$15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'14  August - 20 August 2023'!$B$5:$B$15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4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5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2557311656354118"/>
          <y val="0.0003409618922869646"/>
          <w val="0.9988864829396327"/>
          <h val="0.8713442495824384"/>
        </manualLayout>
      </layout>
      <barChart>
        <barDir val="col"/>
        <grouping val="clustered"/>
        <varyColors val="0"/>
        <ser>
          <idx val="2"/>
          <order val="0"/>
          <tx>
            <strRef>
              <f>sheet1!$C$3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sheet1!$B$3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sheet1!$A$5:$A$15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sheet1!$B$5:$B$15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overlap val="-40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6.xml><?xml version="1.0" encoding="utf-8"?>
<chartSpace xmlns:a="http://schemas.openxmlformats.org/drawingml/2006/main" xmlns="http://schemas.openxmlformats.org/drawingml/2006/chart">
  <chart>
    <plotArea>
      <layout/>
      <barChart>
        <barDir val="col"/>
        <grouping val="clustered"/>
        <varyColors val="0"/>
        <dLbls>
          <dLblPos val="outEnd"/>
          <showLegendKey val="0"/>
          <showVal val="1"/>
          <showCatName val="0"/>
          <showSerName val="0"/>
          <showPercent val="0"/>
          <showBubbleSize val="0"/>
        </dLbls>
        <gapWidth val="315"/>
        <overlap val="-40"/>
        <axId val="482265024"/>
        <axId val="482265352"/>
      </barChart>
      <catAx>
        <axId val="482265024"/>
        <scaling>
          <orientation val="minMax"/>
        </scaling>
        <delete val="0"/>
        <axPos val="b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482265352"/>
        <crosses val="autoZero"/>
        <auto val="1"/>
        <lblAlgn val="ctr"/>
        <lblOffset val="100"/>
        <noMultiLvlLbl val="0"/>
      </catAx>
      <valAx>
        <axId val="482265352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482265024"/>
        <crosses val="autoZero"/>
        <crossBetween val="between"/>
      </valAx>
    </plotArea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77.xml><?xml version="1.0" encoding="utf-8"?>
<chartSpace xmlns:a="http://schemas.openxmlformats.org/drawingml/2006/main" xmlns="http://schemas.openxmlformats.org/drawingml/2006/chart">
  <chart>
    <plotArea>
      <layout>
        <manualLayout>
          <layoutTarget val="inner"/>
          <xMode val="edge"/>
          <yMode val="edge"/>
          <wMode val="factor"/>
          <hMode val="factor"/>
          <x val="0.0008577984043385305"/>
          <y val="0.000340925126294697"/>
          <w val="0.9988864829396327"/>
          <h val="0.8985900149578078"/>
        </manualLayout>
      </layout>
      <barChart>
        <barDir val="col"/>
        <grouping val="clustered"/>
        <varyColors val="0"/>
        <ser>
          <idx val="2"/>
          <order val="0"/>
          <tx>
            <strRef>
              <f>'sheet1 (2)'!$C$3</f>
              <strCache>
                <ptCount val="1"/>
                <pt idx="0">
                  <v>Last Week (Net)</v>
                </pt>
              </strCache>
            </strRef>
          </tx>
          <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(2)'!$C$5:$C$15</f>
              <numCache>
                <formatCode>#,##0.00</formatCode>
                <ptCount val="11"/>
                <pt idx="0">
                  <v>264990.67</v>
                </pt>
                <pt idx="1">
                  <v>192141.41</v>
                </pt>
                <pt idx="2">
                  <v>190409.57</v>
                </pt>
                <pt idx="4">
                  <v>185294.29</v>
                </pt>
                <pt idx="6">
                  <v>109200.15</v>
                </pt>
                <pt idx="7">
                  <v>172061.92</v>
                </pt>
                <pt idx="8">
                  <v>160154</v>
                </pt>
                <pt idx="9">
                  <v>120612.28</v>
                </pt>
                <pt idx="10">
                  <v>134217.79</v>
                </pt>
              </numCache>
            </numRef>
          </val>
        </ser>
        <ser>
          <idx val="3"/>
          <order val="1"/>
          <tx>
            <strRef>
              <f>'sheet1 (2)'!$B$3</f>
              <strCache>
                <ptCount val="1"/>
                <pt idx="0">
                  <v>Current Week (Net)</v>
                </pt>
              </strCache>
            </strRef>
          </tx>
          <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spPr>
          <invertIfNegative val="0"/>
          <cat>
            <strRef>
              <f>'sheet1 (2)'!$A$5:$A$15</f>
              <strCache>
                <ptCount val="11"/>
                <pt idx="0">
                  <v>Hartenbos</v>
                </pt>
                <pt idx="1">
                  <v>Eagles Landing</v>
                </pt>
                <pt idx="2">
                  <v>Irene Village</v>
                </pt>
                <pt idx="3">
                  <v>Kyalami Corner</v>
                </pt>
                <pt idx="4">
                  <v>Lynnwood</v>
                </pt>
                <pt idx="5">
                  <v>Melrose Arch</v>
                </pt>
                <pt idx="6">
                  <v>Melville</v>
                </pt>
                <pt idx="7">
                  <v>Cambridge Crossing</v>
                </pt>
                <pt idx="8">
                  <v>Queenswood</v>
                </pt>
                <pt idx="9">
                  <v xml:space="preserve">Waterkloof </v>
                </pt>
                <pt idx="10">
                  <v>Stellenbosch</v>
                </pt>
              </strCache>
            </strRef>
          </cat>
          <val>
            <numRef>
              <f>'sheet1 (2)'!$B$5:$B$15</f>
              <numCache>
                <formatCode>#,##0.00</formatCode>
                <ptCount val="11"/>
                <pt idx="0">
                  <v>273101.15</v>
                </pt>
                <pt idx="1">
                  <v>205533.83</v>
                </pt>
                <pt idx="2">
                  <v>199073.79</v>
                </pt>
                <pt idx="4">
                  <v>192463.68</v>
                </pt>
                <pt idx="6">
                  <v>126454.51</v>
                </pt>
                <pt idx="7">
                  <v>226860.14</v>
                </pt>
                <pt idx="8">
                  <v>128519.42</v>
                </pt>
                <pt idx="9">
                  <v>143873.67</v>
                </pt>
                <pt idx="10">
                  <v>138171.05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315"/>
        <axId val="641267264"/>
        <axId val="641269560"/>
      </barChart>
      <catAx>
        <axId val="641267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641269560"/>
        <crosses val="autoZero"/>
        <auto val="1"/>
        <lblAlgn val="ctr"/>
        <lblOffset val="100"/>
        <noMultiLvlLbl val="0"/>
      </catAx>
      <valAx>
        <axId val="641269560"/>
        <scaling>
          <orientation val="minMax"/>
        </scaling>
        <delete val="1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numFmt formatCode="#,##0.00" sourceLinked="1"/>
        <majorTickMark val="none"/>
        <minorTickMark val="none"/>
        <tickLblPos val="nextTo"/>
        <crossAx val="641267264"/>
        <crosses val="autoZero"/>
        <crossBetween val="between"/>
      </valAx>
    </plotArea>
    <legend>
      <legendPos val="t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legend>
    <plotVisOnly val="1"/>
    <dispBlanksAs val="gap"/>
  </chart>
  <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 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 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 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 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 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 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 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 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 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 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 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 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 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 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 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 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 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 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 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 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 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 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 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 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 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 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 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 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 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 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 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6.xml" Id="rId1" 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7.xml" Id="rId1" /></Relationships>
</file>

<file path=xl/drawings/_rels/drawing38.xml.rels><Relationships xmlns="http://schemas.openxmlformats.org/package/2006/relationships"><Relationship Type="http://schemas.openxmlformats.org/officeDocument/2006/relationships/chart" Target="/xl/charts/chart38.xml" Id="rId1" /></Relationships>
</file>

<file path=xl/drawings/_rels/drawing39.xml.rels><Relationships xmlns="http://schemas.openxmlformats.org/package/2006/relationships"><Relationship Type="http://schemas.openxmlformats.org/officeDocument/2006/relationships/chart" Target="/xl/charts/chart39.xml" Id="rId1" /></Relationships>
</file>

<file path=xl/drawings/_rels/drawing40.xml.rels><Relationships xmlns="http://schemas.openxmlformats.org/package/2006/relationships"><Relationship Type="http://schemas.openxmlformats.org/officeDocument/2006/relationships/chart" Target="/xl/charts/chart40.xml" Id="rId1" /></Relationships>
</file>

<file path=xl/drawings/_rels/drawing41.xml.rels><Relationships xmlns="http://schemas.openxmlformats.org/package/2006/relationships"><Relationship Type="http://schemas.openxmlformats.org/officeDocument/2006/relationships/chart" Target="/xl/charts/chart41.xml" Id="rId1" /></Relationships>
</file>

<file path=xl/drawings/_rels/drawing42.xml.rels><Relationships xmlns="http://schemas.openxmlformats.org/package/2006/relationships"><Relationship Type="http://schemas.openxmlformats.org/officeDocument/2006/relationships/chart" Target="/xl/charts/chart42.xml" Id="rId1" /><Relationship Type="http://schemas.openxmlformats.org/officeDocument/2006/relationships/chart" Target="/xl/charts/chart43.xml" Id="rId2" /><Relationship Type="http://schemas.openxmlformats.org/officeDocument/2006/relationships/chart" Target="/xl/charts/chart44.xml" Id="rId3" /></Relationships>
</file>

<file path=xl/drawings/_rels/drawing43.xml.rels><Relationships xmlns="http://schemas.openxmlformats.org/package/2006/relationships"><Relationship Type="http://schemas.openxmlformats.org/officeDocument/2006/relationships/chart" Target="/xl/charts/chart45.xml" Id="rId1" /><Relationship Type="http://schemas.openxmlformats.org/officeDocument/2006/relationships/chart" Target="/xl/charts/chart46.xml" Id="rId2" /><Relationship Type="http://schemas.openxmlformats.org/officeDocument/2006/relationships/chart" Target="/xl/charts/chart47.xml" Id="rId3" /></Relationships>
</file>

<file path=xl/drawings/_rels/drawing44.xml.rels><Relationships xmlns="http://schemas.openxmlformats.org/package/2006/relationships"><Relationship Type="http://schemas.openxmlformats.org/officeDocument/2006/relationships/chart" Target="/xl/charts/chart48.xml" Id="rId1" /><Relationship Type="http://schemas.openxmlformats.org/officeDocument/2006/relationships/chart" Target="/xl/charts/chart49.xml" Id="rId2" /><Relationship Type="http://schemas.openxmlformats.org/officeDocument/2006/relationships/chart" Target="/xl/charts/chart50.xml" Id="rId3" /></Relationships>
</file>

<file path=xl/drawings/_rels/drawing45.xml.rels><Relationships xmlns="http://schemas.openxmlformats.org/package/2006/relationships"><Relationship Type="http://schemas.openxmlformats.org/officeDocument/2006/relationships/chart" Target="/xl/charts/chart51.xml" Id="rId1" /><Relationship Type="http://schemas.openxmlformats.org/officeDocument/2006/relationships/chart" Target="/xl/charts/chart52.xml" Id="rId2" /><Relationship Type="http://schemas.openxmlformats.org/officeDocument/2006/relationships/chart" Target="/xl/charts/chart53.xml" Id="rId3" /></Relationships>
</file>

<file path=xl/drawings/_rels/drawing46.xml.rels><Relationships xmlns="http://schemas.openxmlformats.org/package/2006/relationships"><Relationship Type="http://schemas.openxmlformats.org/officeDocument/2006/relationships/chart" Target="/xl/charts/chart54.xml" Id="rId1" /><Relationship Type="http://schemas.openxmlformats.org/officeDocument/2006/relationships/chart" Target="/xl/charts/chart55.xml" Id="rId2" /><Relationship Type="http://schemas.openxmlformats.org/officeDocument/2006/relationships/chart" Target="/xl/charts/chart56.xml" Id="rId3" /></Relationships>
</file>

<file path=xl/drawings/_rels/drawing47.xml.rels><Relationships xmlns="http://schemas.openxmlformats.org/package/2006/relationships"><Relationship Type="http://schemas.openxmlformats.org/officeDocument/2006/relationships/chart" Target="/xl/charts/chart57.xml" Id="rId1" /><Relationship Type="http://schemas.openxmlformats.org/officeDocument/2006/relationships/chart" Target="/xl/charts/chart58.xml" Id="rId2" /><Relationship Type="http://schemas.openxmlformats.org/officeDocument/2006/relationships/chart" Target="/xl/charts/chart59.xml" Id="rId3" /></Relationships>
</file>

<file path=xl/drawings/_rels/drawing48.xml.rels><Relationships xmlns="http://schemas.openxmlformats.org/package/2006/relationships"><Relationship Type="http://schemas.openxmlformats.org/officeDocument/2006/relationships/chart" Target="/xl/charts/chart60.xml" Id="rId1" /><Relationship Type="http://schemas.openxmlformats.org/officeDocument/2006/relationships/chart" Target="/xl/charts/chart61.xml" Id="rId2" /><Relationship Type="http://schemas.openxmlformats.org/officeDocument/2006/relationships/chart" Target="/xl/charts/chart62.xml" Id="rId3" /></Relationships>
</file>

<file path=xl/drawings/_rels/drawing49.xml.rels><Relationships xmlns="http://schemas.openxmlformats.org/package/2006/relationships"><Relationship Type="http://schemas.openxmlformats.org/officeDocument/2006/relationships/chart" Target="/xl/charts/chart63.xml" Id="rId1" /><Relationship Type="http://schemas.openxmlformats.org/officeDocument/2006/relationships/chart" Target="/xl/charts/chart64.xml" Id="rId2" /><Relationship Type="http://schemas.openxmlformats.org/officeDocument/2006/relationships/chart" Target="/xl/charts/chart65.xml" Id="rId3" /></Relationships>
</file>

<file path=xl/drawings/_rels/drawing50.xml.rels><Relationships xmlns="http://schemas.openxmlformats.org/package/2006/relationships"><Relationship Type="http://schemas.openxmlformats.org/officeDocument/2006/relationships/chart" Target="/xl/charts/chart66.xml" Id="rId1" /><Relationship Type="http://schemas.openxmlformats.org/officeDocument/2006/relationships/chart" Target="/xl/charts/chart67.xml" Id="rId2" /><Relationship Type="http://schemas.openxmlformats.org/officeDocument/2006/relationships/chart" Target="/xl/charts/chart68.xml" Id="rId3" /></Relationships>
</file>

<file path=xl/drawings/_rels/drawing51.xml.rels><Relationships xmlns="http://schemas.openxmlformats.org/package/2006/relationships"><Relationship Type="http://schemas.openxmlformats.org/officeDocument/2006/relationships/chart" Target="/xl/charts/chart69.xml" Id="rId1" /><Relationship Type="http://schemas.openxmlformats.org/officeDocument/2006/relationships/chart" Target="/xl/charts/chart70.xml" Id="rId2" /><Relationship Type="http://schemas.openxmlformats.org/officeDocument/2006/relationships/chart" Target="/xl/charts/chart71.xml" Id="rId3" /></Relationships>
</file>

<file path=xl/drawings/_rels/drawing52.xml.rels><Relationships xmlns="http://schemas.openxmlformats.org/package/2006/relationships"><Relationship Type="http://schemas.openxmlformats.org/officeDocument/2006/relationships/chart" Target="/xl/charts/chart72.xml" Id="rId1" /><Relationship Type="http://schemas.openxmlformats.org/officeDocument/2006/relationships/chart" Target="/xl/charts/chart73.xml" Id="rId2" /><Relationship Type="http://schemas.openxmlformats.org/officeDocument/2006/relationships/chart" Target="/xl/charts/chart74.xml" Id="rId3" /></Relationships>
</file>

<file path=xl/drawings/_rels/drawing53.xml.rels><Relationships xmlns="http://schemas.openxmlformats.org/package/2006/relationships"><Relationship Type="http://schemas.openxmlformats.org/officeDocument/2006/relationships/chart" Target="/xl/charts/chart75.xml" Id="rId1" /><Relationship Type="http://schemas.openxmlformats.org/officeDocument/2006/relationships/chart" Target="/xl/charts/chart76.xml" Id="rId2" /><Relationship Type="http://schemas.openxmlformats.org/officeDocument/2006/relationships/chart" Target="/xl/charts/chart77.xml" Id="rId3" /></Relationships>
</file>

<file path=xl/drawings/_rels/drawing54.xml.rels><Relationships xmlns="http://schemas.openxmlformats.org/package/2006/relationships"><Relationship Type="http://schemas.openxmlformats.org/officeDocument/2006/relationships/chart" Target="/xl/charts/chart78.xml" Id="rId1" /><Relationship Type="http://schemas.openxmlformats.org/officeDocument/2006/relationships/chart" Target="/xl/charts/chart79.xml" Id="rId2" /><Relationship Type="http://schemas.openxmlformats.org/officeDocument/2006/relationships/chart" Target="/xl/charts/chart80.xml" Id="rId3" /></Relationships>
</file>

<file path=xl/drawings/_rels/drawing55.xml.rels><Relationships xmlns="http://schemas.openxmlformats.org/package/2006/relationships"><Relationship Type="http://schemas.openxmlformats.org/officeDocument/2006/relationships/chart" Target="/xl/charts/chart81.xml" Id="rId1" /><Relationship Type="http://schemas.openxmlformats.org/officeDocument/2006/relationships/chart" Target="/xl/charts/chart82.xml" Id="rId2" /><Relationship Type="http://schemas.openxmlformats.org/officeDocument/2006/relationships/chart" Target="/xl/charts/chart83.xml" Id="rId3" /></Relationships>
</file>

<file path=xl/drawings/_rels/drawing56.xml.rels><Relationships xmlns="http://schemas.openxmlformats.org/package/2006/relationships"><Relationship Type="http://schemas.openxmlformats.org/officeDocument/2006/relationships/chart" Target="/xl/charts/chart84.xml" Id="rId1" /><Relationship Type="http://schemas.openxmlformats.org/officeDocument/2006/relationships/chart" Target="/xl/charts/chart85.xml" Id="rId2" /><Relationship Type="http://schemas.openxmlformats.org/officeDocument/2006/relationships/chart" Target="/xl/charts/chart86.xml" Id="rId3" /></Relationships>
</file>

<file path=xl/drawings/_rels/drawing57.xml.rels><Relationships xmlns="http://schemas.openxmlformats.org/package/2006/relationships"><Relationship Type="http://schemas.openxmlformats.org/officeDocument/2006/relationships/chart" Target="/xl/charts/chart87.xml" Id="rId1" /><Relationship Type="http://schemas.openxmlformats.org/officeDocument/2006/relationships/chart" Target="/xl/charts/chart88.xml" Id="rId2" /><Relationship Type="http://schemas.openxmlformats.org/officeDocument/2006/relationships/chart" Target="/xl/charts/chart89.xml" Id="rId3" /></Relationships>
</file>

<file path=xl/drawings/_rels/drawing58.xml.rels><Relationships xmlns="http://schemas.openxmlformats.org/package/2006/relationships"><Relationship Type="http://schemas.openxmlformats.org/officeDocument/2006/relationships/chart" Target="/xl/charts/chart90.xml" Id="rId1" /><Relationship Type="http://schemas.openxmlformats.org/officeDocument/2006/relationships/chart" Target="/xl/charts/chart91.xml" Id="rId2" /><Relationship Type="http://schemas.openxmlformats.org/officeDocument/2006/relationships/chart" Target="/xl/charts/chart92.xml" Id="rId3" /></Relationships>
</file>

<file path=xl/drawings/_rels/drawing59.xml.rels><Relationships xmlns="http://schemas.openxmlformats.org/package/2006/relationships"><Relationship Type="http://schemas.openxmlformats.org/officeDocument/2006/relationships/chart" Target="/xl/charts/chart93.xml" Id="rId1" /><Relationship Type="http://schemas.openxmlformats.org/officeDocument/2006/relationships/chart" Target="/xl/charts/chart94.xml" Id="rId2" /><Relationship Type="http://schemas.openxmlformats.org/officeDocument/2006/relationships/chart" Target="/xl/charts/chart95.xml" Id="rId3" /></Relationships>
</file>

<file path=xl/drawings/_rels/drawing60.xml.rels><Relationships xmlns="http://schemas.openxmlformats.org/package/2006/relationships"><Relationship Type="http://schemas.openxmlformats.org/officeDocument/2006/relationships/chart" Target="/xl/charts/chart96.xml" Id="rId1" /><Relationship Type="http://schemas.openxmlformats.org/officeDocument/2006/relationships/chart" Target="/xl/charts/chart97.xml" Id="rId2" /><Relationship Type="http://schemas.openxmlformats.org/officeDocument/2006/relationships/chart" Target="/xl/charts/chart98.xml" Id="rId3" /></Relationships>
</file>

<file path=xl/drawings/_rels/drawing61.xml.rels><Relationships xmlns="http://schemas.openxmlformats.org/package/2006/relationships"><Relationship Type="http://schemas.openxmlformats.org/officeDocument/2006/relationships/chart" Target="/xl/charts/chart99.xml" Id="rId1" /><Relationship Type="http://schemas.openxmlformats.org/officeDocument/2006/relationships/chart" Target="/xl/charts/chart100.xml" Id="rId2" /><Relationship Type="http://schemas.openxmlformats.org/officeDocument/2006/relationships/chart" Target="/xl/charts/chart101.xml" Id="rId3" /></Relationships>
</file>

<file path=xl/drawings/_rels/drawing62.xml.rels><Relationships xmlns="http://schemas.openxmlformats.org/package/2006/relationships"><Relationship Type="http://schemas.openxmlformats.org/officeDocument/2006/relationships/chart" Target="/xl/charts/chart102.xml" Id="rId1" /><Relationship Type="http://schemas.openxmlformats.org/officeDocument/2006/relationships/chart" Target="/xl/charts/chart103.xml" Id="rId2" /><Relationship Type="http://schemas.openxmlformats.org/officeDocument/2006/relationships/chart" Target="/xl/charts/chart104.xml" Id="rId3" /></Relationships>
</file>

<file path=xl/drawings/_rels/drawing63.xml.rels><Relationships xmlns="http://schemas.openxmlformats.org/package/2006/relationships"><Relationship Type="http://schemas.openxmlformats.org/officeDocument/2006/relationships/chart" Target="/xl/charts/chart105.xml" Id="rId1" /><Relationship Type="http://schemas.openxmlformats.org/officeDocument/2006/relationships/chart" Target="/xl/charts/chart106.xml" Id="rId2" /><Relationship Type="http://schemas.openxmlformats.org/officeDocument/2006/relationships/chart" Target="/xl/charts/chart107.xml" Id="rId3" /></Relationships>
</file>

<file path=xl/drawings/_rels/drawing64.xml.rels><Relationships xmlns="http://schemas.openxmlformats.org/package/2006/relationships"><Relationship Type="http://schemas.openxmlformats.org/officeDocument/2006/relationships/chart" Target="/xl/charts/chart108.xml" Id="rId1" /><Relationship Type="http://schemas.openxmlformats.org/officeDocument/2006/relationships/chart" Target="/xl/charts/chart109.xml" Id="rId2" /><Relationship Type="http://schemas.openxmlformats.org/officeDocument/2006/relationships/chart" Target="/xl/charts/chart110.xml" Id="rId3" /></Relationships>
</file>

<file path=xl/drawings/_rels/drawing65.xml.rels><Relationships xmlns="http://schemas.openxmlformats.org/package/2006/relationships"><Relationship Type="http://schemas.openxmlformats.org/officeDocument/2006/relationships/chart" Target="/xl/charts/chart111.xml" Id="rId1" /><Relationship Type="http://schemas.openxmlformats.org/officeDocument/2006/relationships/chart" Target="/xl/charts/chart112.xml" Id="rId2" /><Relationship Type="http://schemas.openxmlformats.org/officeDocument/2006/relationships/chart" Target="/xl/charts/chart113.xml" Id="rId3" /></Relationships>
</file>

<file path=xl/drawings/_rels/drawing66.xml.rels><Relationships xmlns="http://schemas.openxmlformats.org/package/2006/relationships"><Relationship Type="http://schemas.openxmlformats.org/officeDocument/2006/relationships/chart" Target="/xl/charts/chart114.xml" Id="rId1" /><Relationship Type="http://schemas.openxmlformats.org/officeDocument/2006/relationships/chart" Target="/xl/charts/chart115.xml" Id="rId2" /><Relationship Type="http://schemas.openxmlformats.org/officeDocument/2006/relationships/chart" Target="/xl/charts/chart116.xml" Id="rId3" /></Relationships>
</file>

<file path=xl/drawings/_rels/drawing67.xml.rels><Relationships xmlns="http://schemas.openxmlformats.org/package/2006/relationships"><Relationship Type="http://schemas.openxmlformats.org/officeDocument/2006/relationships/chart" Target="/xl/charts/chart117.xml" Id="rId1" /><Relationship Type="http://schemas.openxmlformats.org/officeDocument/2006/relationships/chart" Target="/xl/charts/chart118.xml" Id="rId2" /><Relationship Type="http://schemas.openxmlformats.org/officeDocument/2006/relationships/chart" Target="/xl/charts/chart119.xml" Id="rId3" /></Relationships>
</file>

<file path=xl/drawings/_rels/drawing68.xml.rels><Relationships xmlns="http://schemas.openxmlformats.org/package/2006/relationships"><Relationship Type="http://schemas.openxmlformats.org/officeDocument/2006/relationships/chart" Target="/xl/charts/chart120.xml" Id="rId1" /><Relationship Type="http://schemas.openxmlformats.org/officeDocument/2006/relationships/chart" Target="/xl/charts/chart121.xml" Id="rId2" /><Relationship Type="http://schemas.openxmlformats.org/officeDocument/2006/relationships/chart" Target="/xl/charts/chart122.xml" Id="rId3" /></Relationships>
</file>

<file path=xl/drawings/_rels/drawing69.xml.rels><Relationships xmlns="http://schemas.openxmlformats.org/package/2006/relationships"><Relationship Type="http://schemas.openxmlformats.org/officeDocument/2006/relationships/chart" Target="/xl/charts/chart123.xml" Id="rId1" /><Relationship Type="http://schemas.openxmlformats.org/officeDocument/2006/relationships/chart" Target="/xl/charts/chart124.xml" Id="rId2" /><Relationship Type="http://schemas.openxmlformats.org/officeDocument/2006/relationships/chart" Target="/xl/charts/chart125.xml" Id="rId3" /></Relationships>
</file>

<file path=xl/drawings/_rels/drawing70.xml.rels><Relationships xmlns="http://schemas.openxmlformats.org/package/2006/relationships"><Relationship Type="http://schemas.openxmlformats.org/officeDocument/2006/relationships/chart" Target="/xl/charts/chart126.xml" Id="rId1" /><Relationship Type="http://schemas.openxmlformats.org/officeDocument/2006/relationships/chart" Target="/xl/charts/chart127.xml" Id="rId2" /><Relationship Type="http://schemas.openxmlformats.org/officeDocument/2006/relationships/chart" Target="/xl/charts/chart128.xml" Id="rId3" /></Relationships>
</file>

<file path=xl/drawings/_rels/drawing71.xml.rels><Relationships xmlns="http://schemas.openxmlformats.org/package/2006/relationships"><Relationship Type="http://schemas.openxmlformats.org/officeDocument/2006/relationships/chart" Target="/xl/charts/chart129.xml" Id="rId1" /><Relationship Type="http://schemas.openxmlformats.org/officeDocument/2006/relationships/chart" Target="/xl/charts/chart130.xml" Id="rId2" /><Relationship Type="http://schemas.openxmlformats.org/officeDocument/2006/relationships/chart" Target="/xl/charts/chart131.xml" Id="rId3" /></Relationships>
</file>

<file path=xl/drawings/_rels/drawing72.xml.rels><Relationships xmlns="http://schemas.openxmlformats.org/package/2006/relationships"><Relationship Type="http://schemas.openxmlformats.org/officeDocument/2006/relationships/chart" Target="/xl/charts/chart132.xml" Id="rId1" /><Relationship Type="http://schemas.openxmlformats.org/officeDocument/2006/relationships/chart" Target="/xl/charts/chart133.xml" Id="rId2" /><Relationship Type="http://schemas.openxmlformats.org/officeDocument/2006/relationships/chart" Target="/xl/charts/chart134.xml" Id="rId3" /></Relationships>
</file>

<file path=xl/drawings/_rels/drawing73.xml.rels><Relationships xmlns="http://schemas.openxmlformats.org/package/2006/relationships"><Relationship Type="http://schemas.openxmlformats.org/officeDocument/2006/relationships/chart" Target="/xl/charts/chart135.xml" Id="rId1" /><Relationship Type="http://schemas.openxmlformats.org/officeDocument/2006/relationships/chart" Target="/xl/charts/chart136.xml" Id="rId2" /><Relationship Type="http://schemas.openxmlformats.org/officeDocument/2006/relationships/chart" Target="/xl/charts/chart137.xml" Id="rId3" /></Relationships>
</file>

<file path=xl/drawings/_rels/drawing74.xml.rels><Relationships xmlns="http://schemas.openxmlformats.org/package/2006/relationships"><Relationship Type="http://schemas.openxmlformats.org/officeDocument/2006/relationships/chart" Target="/xl/charts/chart138.xml" Id="rId1" /><Relationship Type="http://schemas.openxmlformats.org/officeDocument/2006/relationships/chart" Target="/xl/charts/chart139.xml" Id="rId2" /></Relationships>
</file>

<file path=xl/drawings/_rels/drawing75.xml.rels><Relationships xmlns="http://schemas.openxmlformats.org/package/2006/relationships"><Relationship Type="http://schemas.openxmlformats.org/officeDocument/2006/relationships/chart" Target="/xl/charts/chart140.xml" Id="rId1" /><Relationship Type="http://schemas.openxmlformats.org/officeDocument/2006/relationships/chart" Target="/xl/charts/chart141.xml" Id="rId2" /></Relationships>
</file>

<file path=xl/drawings/_rels/drawing76.xml.rels><Relationships xmlns="http://schemas.openxmlformats.org/package/2006/relationships"><Relationship Type="http://schemas.openxmlformats.org/officeDocument/2006/relationships/chart" Target="/xl/charts/chart142.xml" Id="rId1" /><Relationship Type="http://schemas.openxmlformats.org/officeDocument/2006/relationships/chart" Target="/xl/charts/chart143.xml" Id="rId2" /></Relationships>
</file>

<file path=xl/drawings/_rels/drawing77.xml.rels><Relationships xmlns="http://schemas.openxmlformats.org/package/2006/relationships"><Relationship Type="http://schemas.openxmlformats.org/officeDocument/2006/relationships/chart" Target="/xl/charts/chart144.xml" Id="rId1" /><Relationship Type="http://schemas.openxmlformats.org/officeDocument/2006/relationships/chart" Target="/xl/charts/chart145.xml" Id="rId2" /></Relationships>
</file>

<file path=xl/drawings/_rels/drawing78.xml.rels><Relationships xmlns="http://schemas.openxmlformats.org/package/2006/relationships"><Relationship Type="http://schemas.openxmlformats.org/officeDocument/2006/relationships/chart" Target="/xl/charts/chart146.xml" Id="rId1" /><Relationship Type="http://schemas.openxmlformats.org/officeDocument/2006/relationships/chart" Target="/xl/charts/chart147.xml" Id="rId2" /></Relationships>
</file>

<file path=xl/drawings/_rels/drawing79.xml.rels><Relationships xmlns="http://schemas.openxmlformats.org/package/2006/relationships"><Relationship Type="http://schemas.openxmlformats.org/officeDocument/2006/relationships/chart" Target="/xl/charts/chart148.xml" Id="rId1" /><Relationship Type="http://schemas.openxmlformats.org/officeDocument/2006/relationships/chart" Target="/xl/charts/chart149.xml" Id="rId2" /></Relationships>
</file>

<file path=xl/drawings/_rels/drawing80.xml.rels><Relationships xmlns="http://schemas.openxmlformats.org/package/2006/relationships"><Relationship Type="http://schemas.openxmlformats.org/officeDocument/2006/relationships/chart" Target="/xl/charts/chart150.xml" Id="rId1" /><Relationship Type="http://schemas.openxmlformats.org/officeDocument/2006/relationships/chart" Target="/xl/charts/chart151.xml" Id="rId2" /></Relationships>
</file>

<file path=xl/drawings/_rels/drawing81.xml.rels><Relationships xmlns="http://schemas.openxmlformats.org/package/2006/relationships"><Relationship Type="http://schemas.openxmlformats.org/officeDocument/2006/relationships/chart" Target="/xl/charts/chart152.xml" Id="rId1" /><Relationship Type="http://schemas.openxmlformats.org/officeDocument/2006/relationships/chart" Target="/xl/charts/chart153.xml" Id="rId2" /></Relationships>
</file>

<file path=xl/drawings/_rels/drawing82.xml.rels><Relationships xmlns="http://schemas.openxmlformats.org/package/2006/relationships"><Relationship Type="http://schemas.openxmlformats.org/officeDocument/2006/relationships/chart" Target="/xl/charts/chart154.xml" Id="rId1" /><Relationship Type="http://schemas.openxmlformats.org/officeDocument/2006/relationships/chart" Target="/xl/charts/chart155.xml" Id="rId2" /></Relationships>
</file>

<file path=xl/drawings/_rels/drawing83.xml.rels><Relationships xmlns="http://schemas.openxmlformats.org/package/2006/relationships"><Relationship Type="http://schemas.openxmlformats.org/officeDocument/2006/relationships/chart" Target="/xl/charts/chart156.xml" Id="rId1" /><Relationship Type="http://schemas.openxmlformats.org/officeDocument/2006/relationships/chart" Target="/xl/charts/chart157.xml" Id="rId2" /></Relationships>
</file>

<file path=xl/drawings/_rels/drawing84.xml.rels><Relationships xmlns="http://schemas.openxmlformats.org/package/2006/relationships"><Relationship Type="http://schemas.openxmlformats.org/officeDocument/2006/relationships/chart" Target="/xl/charts/chart158.xml" Id="rId1" /><Relationship Type="http://schemas.openxmlformats.org/officeDocument/2006/relationships/chart" Target="/xl/charts/chart159.xml" Id="rId2" /></Relationships>
</file>

<file path=xl/drawings/_rels/drawing85.xml.rels><Relationships xmlns="http://schemas.openxmlformats.org/package/2006/relationships"><Relationship Type="http://schemas.openxmlformats.org/officeDocument/2006/relationships/chart" Target="/xl/charts/chart160.xml" Id="rId1" /><Relationship Type="http://schemas.openxmlformats.org/officeDocument/2006/relationships/chart" Target="/xl/charts/chart161.xml" Id="rId2" /></Relationships>
</file>

<file path=xl/drawings/_rels/drawing86.xml.rels><Relationships xmlns="http://schemas.openxmlformats.org/package/2006/relationships"><Relationship Type="http://schemas.openxmlformats.org/officeDocument/2006/relationships/chart" Target="/xl/charts/chart162.xml" Id="rId1" /><Relationship Type="http://schemas.openxmlformats.org/officeDocument/2006/relationships/chart" Target="/xl/charts/chart163.xml" Id="rId2" /></Relationships>
</file>

<file path=xl/drawings/_rels/drawing87.xml.rels><Relationships xmlns="http://schemas.openxmlformats.org/package/2006/relationships"><Relationship Type="http://schemas.openxmlformats.org/officeDocument/2006/relationships/chart" Target="/xl/charts/chart164.xml" Id="rId1" /><Relationship Type="http://schemas.openxmlformats.org/officeDocument/2006/relationships/chart" Target="/xl/charts/chart165.xml" Id="rId2" /></Relationships>
</file>

<file path=xl/drawings/_rels/drawing88.xml.rels><Relationships xmlns="http://schemas.openxmlformats.org/package/2006/relationships"><Relationship Type="http://schemas.openxmlformats.org/officeDocument/2006/relationships/chart" Target="/xl/charts/chart166.xml" Id="rId1" /><Relationship Type="http://schemas.openxmlformats.org/officeDocument/2006/relationships/chart" Target="/xl/charts/chart167.xml" Id="rId2" /></Relationships>
</file>

<file path=xl/drawings/_rels/drawing89.xml.rels><Relationships xmlns="http://schemas.openxmlformats.org/package/2006/relationships"><Relationship Type="http://schemas.openxmlformats.org/officeDocument/2006/relationships/chart" Target="/xl/charts/chart168.xml" Id="rId1" /><Relationship Type="http://schemas.openxmlformats.org/officeDocument/2006/relationships/chart" Target="/xl/charts/chart169.xml" Id="rId2" /></Relationships>
</file>

<file path=xl/drawings/_rels/drawing90.xml.rels><Relationships xmlns="http://schemas.openxmlformats.org/package/2006/relationships"><Relationship Type="http://schemas.openxmlformats.org/officeDocument/2006/relationships/chart" Target="/xl/charts/chart170.xml" Id="rId1" /><Relationship Type="http://schemas.openxmlformats.org/officeDocument/2006/relationships/chart" Target="/xl/charts/chart171.xml" Id="rId2" /></Relationships>
</file>

<file path=xl/drawings/_rels/drawing91.xml.rels><Relationships xmlns="http://schemas.openxmlformats.org/package/2006/relationships"><Relationship Type="http://schemas.openxmlformats.org/officeDocument/2006/relationships/chart" Target="/xl/charts/chart172.xml" Id="rId1" /><Relationship Type="http://schemas.openxmlformats.org/officeDocument/2006/relationships/chart" Target="/xl/charts/chart173.xml" Id="rId2" /></Relationships>
</file>

<file path=xl/drawings/_rels/drawing92.xml.rels><Relationships xmlns="http://schemas.openxmlformats.org/package/2006/relationships"><Relationship Type="http://schemas.openxmlformats.org/officeDocument/2006/relationships/chart" Target="/xl/charts/chart174.xml" Id="rId1" /><Relationship Type="http://schemas.openxmlformats.org/officeDocument/2006/relationships/chart" Target="/xl/charts/chart175.xml" Id="rId2" /></Relationships>
</file>

<file path=xl/drawings/_rels/drawing93.xml.rels><Relationships xmlns="http://schemas.openxmlformats.org/package/2006/relationships"><Relationship Type="http://schemas.openxmlformats.org/officeDocument/2006/relationships/chart" Target="/xl/charts/chart176.xml" Id="rId1" /><Relationship Type="http://schemas.openxmlformats.org/officeDocument/2006/relationships/chart" Target="/xl/charts/chart177.xml" Id="rId2" /></Relationships>
</file>

<file path=xl/drawings/_rels/drawing94.xml.rels><Relationships xmlns="http://schemas.openxmlformats.org/package/2006/relationships"><Relationship Type="http://schemas.openxmlformats.org/officeDocument/2006/relationships/chart" Target="/xl/charts/chart178.xml" Id="rId1" /><Relationship Type="http://schemas.openxmlformats.org/officeDocument/2006/relationships/chart" Target="/xl/charts/chart179.xml" Id="rId2" /></Relationships>
</file>

<file path=xl/drawings/_rels/drawing95.xml.rels><Relationships xmlns="http://schemas.openxmlformats.org/package/2006/relationships"><Relationship Type="http://schemas.openxmlformats.org/officeDocument/2006/relationships/chart" Target="/xl/charts/chart180.xml" Id="rId1" /><Relationship Type="http://schemas.openxmlformats.org/officeDocument/2006/relationships/chart" Target="/xl/charts/chart181.xml" Id="rId2" /></Relationships>
</file>

<file path=xl/drawings/_rels/drawing96.xml.rels><Relationships xmlns="http://schemas.openxmlformats.org/package/2006/relationships"><Relationship Type="http://schemas.openxmlformats.org/officeDocument/2006/relationships/chart" Target="/xl/charts/chart182.xml" Id="rId1" /><Relationship Type="http://schemas.openxmlformats.org/officeDocument/2006/relationships/chart" Target="/xl/charts/chart183.xml" Id="rId2" /></Relationships>
</file>

<file path=xl/drawings/_rels/drawing97.xml.rels><Relationships xmlns="http://schemas.openxmlformats.org/package/2006/relationships"><Relationship Type="http://schemas.openxmlformats.org/officeDocument/2006/relationships/chart" Target="/xl/charts/chart184.xml" Id="rId1" /><Relationship Type="http://schemas.openxmlformats.org/officeDocument/2006/relationships/chart" Target="/xl/charts/chart185.xml" Id="rId2" /></Relationships>
</file>

<file path=xl/drawings/_rels/drawing98.xml.rels><Relationships xmlns="http://schemas.openxmlformats.org/package/2006/relationships"><Relationship Type="http://schemas.openxmlformats.org/officeDocument/2006/relationships/chart" Target="/xl/charts/chart186.xml" Id="rId1" /><Relationship Type="http://schemas.openxmlformats.org/officeDocument/2006/relationships/chart" Target="/xl/charts/chart187.xml" Id="rId2" /></Relationships>
</file>

<file path=xl/drawings/_rels/drawing99.xml.rels><Relationships xmlns="http://schemas.openxmlformats.org/package/2006/relationships"><Relationship Type="http://schemas.openxmlformats.org/officeDocument/2006/relationships/chart" Target="/xl/charts/chart188.xml" Id="rId1" /><Relationship Type="http://schemas.openxmlformats.org/officeDocument/2006/relationships/chart" Target="/xl/charts/chart189.xml" Id="rId2" /></Relationships>
</file>

<file path=xl/drawings/_rels/drawing100.xml.rels><Relationships xmlns="http://schemas.openxmlformats.org/package/2006/relationships"><Relationship Type="http://schemas.openxmlformats.org/officeDocument/2006/relationships/chart" Target="/xl/charts/chart190.xml" Id="rId1" /><Relationship Type="http://schemas.openxmlformats.org/officeDocument/2006/relationships/chart" Target="/xl/charts/chart191.xml" Id="rId2" /></Relationships>
</file>

<file path=xl/drawings/_rels/drawing101.xml.rels><Relationships xmlns="http://schemas.openxmlformats.org/package/2006/relationships"><Relationship Type="http://schemas.openxmlformats.org/officeDocument/2006/relationships/chart" Target="/xl/charts/chart192.xml" Id="rId1" /><Relationship Type="http://schemas.openxmlformats.org/officeDocument/2006/relationships/chart" Target="/xl/charts/chart193.xml" Id="rId2" /></Relationships>
</file>

<file path=xl/drawings/_rels/drawing102.xml.rels><Relationships xmlns="http://schemas.openxmlformats.org/package/2006/relationships"><Relationship Type="http://schemas.openxmlformats.org/officeDocument/2006/relationships/chart" Target="/xl/charts/chart194.xml" Id="rId1" /><Relationship Type="http://schemas.openxmlformats.org/officeDocument/2006/relationships/chart" Target="/xl/charts/chart195.xml" Id="rId2" /></Relationships>
</file>

<file path=xl/drawings/_rels/drawing103.xml.rels><Relationships xmlns="http://schemas.openxmlformats.org/package/2006/relationships"><Relationship Type="http://schemas.openxmlformats.org/officeDocument/2006/relationships/chart" Target="/xl/charts/chart196.xml" Id="rId1" /><Relationship Type="http://schemas.openxmlformats.org/officeDocument/2006/relationships/chart" Target="/xl/charts/chart197.xml" Id="rId2" /></Relationships>
</file>

<file path=xl/drawings/_rels/drawing104.xml.rels><Relationships xmlns="http://schemas.openxmlformats.org/package/2006/relationships"><Relationship Type="http://schemas.openxmlformats.org/officeDocument/2006/relationships/chart" Target="/xl/charts/chart198.xml" Id="rId1" /><Relationship Type="http://schemas.openxmlformats.org/officeDocument/2006/relationships/chart" Target="/xl/charts/chart199.xml" Id="rId2" /></Relationships>
</file>

<file path=xl/drawings/_rels/drawing105.xml.rels><Relationships xmlns="http://schemas.openxmlformats.org/package/2006/relationships"><Relationship Type="http://schemas.openxmlformats.org/officeDocument/2006/relationships/chart" Target="/xl/charts/chart200.xml" Id="rId1" /><Relationship Type="http://schemas.openxmlformats.org/officeDocument/2006/relationships/chart" Target="/xl/charts/chart201.xml" Id="rId2" /></Relationships>
</file>

<file path=xl/drawings/_rels/drawing106.xml.rels><Relationships xmlns="http://schemas.openxmlformats.org/package/2006/relationships"><Relationship Type="http://schemas.openxmlformats.org/officeDocument/2006/relationships/chart" Target="/xl/charts/chart202.xml" Id="rId1" /><Relationship Type="http://schemas.openxmlformats.org/officeDocument/2006/relationships/chart" Target="/xl/charts/chart203.xml" Id="rId2" /></Relationships>
</file>

<file path=xl/drawings/_rels/drawing107.xml.rels><Relationships xmlns="http://schemas.openxmlformats.org/package/2006/relationships"><Relationship Type="http://schemas.openxmlformats.org/officeDocument/2006/relationships/chart" Target="/xl/charts/chart204.xml" Id="rId1" /><Relationship Type="http://schemas.openxmlformats.org/officeDocument/2006/relationships/chart" Target="/xl/charts/chart205.xml" Id="rId2" /></Relationships>
</file>

<file path=xl/drawings/_rels/drawing108.xml.rels><Relationships xmlns="http://schemas.openxmlformats.org/package/2006/relationships"><Relationship Type="http://schemas.openxmlformats.org/officeDocument/2006/relationships/chart" Target="/xl/charts/chart206.xml" Id="rId1" /><Relationship Type="http://schemas.openxmlformats.org/officeDocument/2006/relationships/chart" Target="/xl/charts/chart207.xml" Id="rId2" /></Relationships>
</file>

<file path=xl/drawings/_rels/drawing109.xml.rels><Relationships xmlns="http://schemas.openxmlformats.org/package/2006/relationships"><Relationship Type="http://schemas.openxmlformats.org/officeDocument/2006/relationships/chart" Target="/xl/charts/chart208.xml" Id="rId1" /><Relationship Type="http://schemas.openxmlformats.org/officeDocument/2006/relationships/chart" Target="/xl/charts/chart209.xml" Id="rId2" /></Relationships>
</file>

<file path=xl/drawings/_rels/drawing110.xml.rels><Relationships xmlns="http://schemas.openxmlformats.org/package/2006/relationships"><Relationship Type="http://schemas.openxmlformats.org/officeDocument/2006/relationships/chart" Target="/xl/charts/chart210.xml" Id="rId1" /><Relationship Type="http://schemas.openxmlformats.org/officeDocument/2006/relationships/chart" Target="/xl/charts/chart211.xml" Id="rId2" /></Relationships>
</file>

<file path=xl/drawings/_rels/drawing111.xml.rels><Relationships xmlns="http://schemas.openxmlformats.org/package/2006/relationships"><Relationship Type="http://schemas.openxmlformats.org/officeDocument/2006/relationships/chart" Target="/xl/charts/chart212.xml" Id="rId1" /><Relationship Type="http://schemas.openxmlformats.org/officeDocument/2006/relationships/chart" Target="/xl/charts/chart213.xml" Id="rId2" /></Relationships>
</file>

<file path=xl/drawings/_rels/drawing112.xml.rels><Relationships xmlns="http://schemas.openxmlformats.org/package/2006/relationships"><Relationship Type="http://schemas.openxmlformats.org/officeDocument/2006/relationships/chart" Target="/xl/charts/chart214.xml" Id="rId1" /><Relationship Type="http://schemas.openxmlformats.org/officeDocument/2006/relationships/chart" Target="/xl/charts/chart215.xml" Id="rId2" /></Relationships>
</file>

<file path=xl/drawings/_rels/drawing113.xml.rels><Relationships xmlns="http://schemas.openxmlformats.org/package/2006/relationships"><Relationship Type="http://schemas.openxmlformats.org/officeDocument/2006/relationships/chart" Target="/xl/charts/chart216.xml" Id="rId1" /><Relationship Type="http://schemas.openxmlformats.org/officeDocument/2006/relationships/chart" Target="/xl/charts/chart217.xml" Id="rId2" /></Relationships>
</file>

<file path=xl/drawings/_rels/drawing114.xml.rels><Relationships xmlns="http://schemas.openxmlformats.org/package/2006/relationships"><Relationship Type="http://schemas.openxmlformats.org/officeDocument/2006/relationships/chart" Target="/xl/charts/chart218.xml" Id="rId1" /><Relationship Type="http://schemas.openxmlformats.org/officeDocument/2006/relationships/chart" Target="/xl/charts/chart219.xml" Id="rId2" /></Relationships>
</file>

<file path=xl/drawings/_rels/drawing115.xml.rels><Relationships xmlns="http://schemas.openxmlformats.org/package/2006/relationships"><Relationship Type="http://schemas.openxmlformats.org/officeDocument/2006/relationships/chart" Target="/xl/charts/chart220.xml" Id="rId1" /><Relationship Type="http://schemas.openxmlformats.org/officeDocument/2006/relationships/chart" Target="/xl/charts/chart221.xml" Id="rId2" /></Relationships>
</file>

<file path=xl/drawings/_rels/drawing116.xml.rels><Relationships xmlns="http://schemas.openxmlformats.org/package/2006/relationships"><Relationship Type="http://schemas.openxmlformats.org/officeDocument/2006/relationships/chart" Target="/xl/charts/chart222.xml" Id="rId1" /><Relationship Type="http://schemas.openxmlformats.org/officeDocument/2006/relationships/chart" Target="/xl/charts/chart223.xml" Id="rId2" /></Relationships>
</file>

<file path=xl/drawings/_rels/drawing117.xml.rels><Relationships xmlns="http://schemas.openxmlformats.org/package/2006/relationships"><Relationship Type="http://schemas.openxmlformats.org/officeDocument/2006/relationships/chart" Target="/xl/charts/chart224.xml" Id="rId1" /><Relationship Type="http://schemas.openxmlformats.org/officeDocument/2006/relationships/chart" Target="/xl/charts/chart225.xml" Id="rId2" /></Relationships>
</file>

<file path=xl/drawings/_rels/drawing118.xml.rels><Relationships xmlns="http://schemas.openxmlformats.org/package/2006/relationships"><Relationship Type="http://schemas.openxmlformats.org/officeDocument/2006/relationships/chart" Target="/xl/charts/chart226.xml" Id="rId1" /><Relationship Type="http://schemas.openxmlformats.org/officeDocument/2006/relationships/chart" Target="/xl/charts/chart227.xml" Id="rId2" /></Relationships>
</file>

<file path=xl/drawings/_rels/drawing119.xml.rels><Relationships xmlns="http://schemas.openxmlformats.org/package/2006/relationships"><Relationship Type="http://schemas.openxmlformats.org/officeDocument/2006/relationships/chart" Target="/xl/charts/chart228.xml" Id="rId1" /><Relationship Type="http://schemas.openxmlformats.org/officeDocument/2006/relationships/chart" Target="/xl/charts/chart229.xml" Id="rId2" /></Relationships>
</file>

<file path=xl/drawings/_rels/drawing120.xml.rels><Relationships xmlns="http://schemas.openxmlformats.org/package/2006/relationships"><Relationship Type="http://schemas.openxmlformats.org/officeDocument/2006/relationships/chart" Target="/xl/charts/chart230.xml" Id="rId1" /><Relationship Type="http://schemas.openxmlformats.org/officeDocument/2006/relationships/chart" Target="/xl/charts/chart231.xml" Id="rId2" /></Relationships>
</file>

<file path=xl/drawings/_rels/drawing121.xml.rels><Relationships xmlns="http://schemas.openxmlformats.org/package/2006/relationships"><Relationship Type="http://schemas.openxmlformats.org/officeDocument/2006/relationships/chart" Target="/xl/charts/chart232.xml" Id="rId1" /><Relationship Type="http://schemas.openxmlformats.org/officeDocument/2006/relationships/chart" Target="/xl/charts/chart233.xml" Id="rId2" /></Relationships>
</file>

<file path=xl/drawings/_rels/drawing122.xml.rels><Relationships xmlns="http://schemas.openxmlformats.org/package/2006/relationships"><Relationship Type="http://schemas.openxmlformats.org/officeDocument/2006/relationships/chart" Target="/xl/charts/chart234.xml" Id="rId1" /><Relationship Type="http://schemas.openxmlformats.org/officeDocument/2006/relationships/chart" Target="/xl/charts/chart235.xml" Id="rId2" /></Relationships>
</file>

<file path=xl/drawings/_rels/drawing123.xml.rels><Relationships xmlns="http://schemas.openxmlformats.org/package/2006/relationships"><Relationship Type="http://schemas.openxmlformats.org/officeDocument/2006/relationships/chart" Target="/xl/charts/chart236.xml" Id="rId1" /><Relationship Type="http://schemas.openxmlformats.org/officeDocument/2006/relationships/chart" Target="/xl/charts/chart237.xml" Id="rId2" /></Relationships>
</file>

<file path=xl/drawings/_rels/drawing124.xml.rels><Relationships xmlns="http://schemas.openxmlformats.org/package/2006/relationships"><Relationship Type="http://schemas.openxmlformats.org/officeDocument/2006/relationships/chart" Target="/xl/charts/chart238.xml" Id="rId1" /><Relationship Type="http://schemas.openxmlformats.org/officeDocument/2006/relationships/chart" Target="/xl/charts/chart239.xml" Id="rId2" /></Relationships>
</file>

<file path=xl/drawings/_rels/drawing125.xml.rels><Relationships xmlns="http://schemas.openxmlformats.org/package/2006/relationships"><Relationship Type="http://schemas.openxmlformats.org/officeDocument/2006/relationships/chart" Target="/xl/charts/chart240.xml" Id="rId1" /><Relationship Type="http://schemas.openxmlformats.org/officeDocument/2006/relationships/chart" Target="/xl/charts/chart241.xml" Id="rId2" /></Relationships>
</file>

<file path=xl/drawings/_rels/drawing126.xml.rels><Relationships xmlns="http://schemas.openxmlformats.org/package/2006/relationships"><Relationship Type="http://schemas.openxmlformats.org/officeDocument/2006/relationships/chart" Target="/xl/charts/chart242.xml" Id="rId1" /><Relationship Type="http://schemas.openxmlformats.org/officeDocument/2006/relationships/chart" Target="/xl/charts/chart243.xml" Id="rId2" /></Relationships>
</file>

<file path=xl/drawings/_rels/drawing127.xml.rels><Relationships xmlns="http://schemas.openxmlformats.org/package/2006/relationships"><Relationship Type="http://schemas.openxmlformats.org/officeDocument/2006/relationships/chart" Target="/xl/charts/chart244.xml" Id="rId1" /><Relationship Type="http://schemas.openxmlformats.org/officeDocument/2006/relationships/chart" Target="/xl/charts/chart245.xml" Id="rId2" /></Relationships>
</file>

<file path=xl/drawings/_rels/drawing128.xml.rels><Relationships xmlns="http://schemas.openxmlformats.org/package/2006/relationships"><Relationship Type="http://schemas.openxmlformats.org/officeDocument/2006/relationships/chart" Target="/xl/charts/chart246.xml" Id="rId1" /><Relationship Type="http://schemas.openxmlformats.org/officeDocument/2006/relationships/chart" Target="/xl/charts/chart247.xml" Id="rId2" /></Relationships>
</file>

<file path=xl/drawings/_rels/drawing129.xml.rels><Relationships xmlns="http://schemas.openxmlformats.org/package/2006/relationships"><Relationship Type="http://schemas.openxmlformats.org/officeDocument/2006/relationships/chart" Target="/xl/charts/chart248.xml" Id="rId1" /><Relationship Type="http://schemas.openxmlformats.org/officeDocument/2006/relationships/chart" Target="/xl/charts/chart249.xml" Id="rId2" /></Relationships>
</file>

<file path=xl/drawings/_rels/drawing130.xml.rels><Relationships xmlns="http://schemas.openxmlformats.org/package/2006/relationships"><Relationship Type="http://schemas.openxmlformats.org/officeDocument/2006/relationships/chart" Target="/xl/charts/chart250.xml" Id="rId1" /><Relationship Type="http://schemas.openxmlformats.org/officeDocument/2006/relationships/chart" Target="/xl/charts/chart251.xml" Id="rId2" /></Relationships>
</file>

<file path=xl/drawings/_rels/drawing131.xml.rels><Relationships xmlns="http://schemas.openxmlformats.org/package/2006/relationships"><Relationship Type="http://schemas.openxmlformats.org/officeDocument/2006/relationships/chart" Target="/xl/charts/chart252.xml" Id="rId1" /><Relationship Type="http://schemas.openxmlformats.org/officeDocument/2006/relationships/chart" Target="/xl/charts/chart253.xml" Id="rId2" /></Relationships>
</file>

<file path=xl/drawings/_rels/drawing132.xml.rels><Relationships xmlns="http://schemas.openxmlformats.org/package/2006/relationships"><Relationship Type="http://schemas.openxmlformats.org/officeDocument/2006/relationships/chart" Target="/xl/charts/chart254.xml" Id="rId1" /><Relationship Type="http://schemas.openxmlformats.org/officeDocument/2006/relationships/chart" Target="/xl/charts/chart255.xml" Id="rId2" /></Relationships>
</file>

<file path=xl/drawings/_rels/drawing133.xml.rels><Relationships xmlns="http://schemas.openxmlformats.org/package/2006/relationships"><Relationship Type="http://schemas.openxmlformats.org/officeDocument/2006/relationships/chart" Target="/xl/charts/chart256.xml" Id="rId1" /><Relationship Type="http://schemas.openxmlformats.org/officeDocument/2006/relationships/chart" Target="/xl/charts/chart257.xml" Id="rId2" /></Relationships>
</file>

<file path=xl/drawings/_rels/drawing134.xml.rels><Relationships xmlns="http://schemas.openxmlformats.org/package/2006/relationships"><Relationship Type="http://schemas.openxmlformats.org/officeDocument/2006/relationships/chart" Target="/xl/charts/chart258.xml" Id="rId1" /><Relationship Type="http://schemas.openxmlformats.org/officeDocument/2006/relationships/chart" Target="/xl/charts/chart259.xml" Id="rId2" /></Relationships>
</file>

<file path=xl/drawings/_rels/drawing135.xml.rels><Relationships xmlns="http://schemas.openxmlformats.org/package/2006/relationships"><Relationship Type="http://schemas.openxmlformats.org/officeDocument/2006/relationships/chart" Target="/xl/charts/chart260.xml" Id="rId1" /><Relationship Type="http://schemas.openxmlformats.org/officeDocument/2006/relationships/chart" Target="/xl/charts/chart261.xml" Id="rId2" /></Relationships>
</file>

<file path=xl/drawings/_rels/drawing136.xml.rels><Relationships xmlns="http://schemas.openxmlformats.org/package/2006/relationships"><Relationship Type="http://schemas.openxmlformats.org/officeDocument/2006/relationships/chart" Target="/xl/charts/chart262.xml" Id="rId1" /><Relationship Type="http://schemas.openxmlformats.org/officeDocument/2006/relationships/chart" Target="/xl/charts/chart263.xml" Id="rId2" /></Relationships>
</file>

<file path=xl/drawings/_rels/drawing137.xml.rels><Relationships xmlns="http://schemas.openxmlformats.org/package/2006/relationships"><Relationship Type="http://schemas.openxmlformats.org/officeDocument/2006/relationships/chart" Target="/xl/charts/chart264.xml" Id="rId1" /><Relationship Type="http://schemas.openxmlformats.org/officeDocument/2006/relationships/chart" Target="/xl/charts/chart265.xml" Id="rId2" /></Relationships>
</file>

<file path=xl/drawings/_rels/drawing138.xml.rels><Relationships xmlns="http://schemas.openxmlformats.org/package/2006/relationships"><Relationship Type="http://schemas.openxmlformats.org/officeDocument/2006/relationships/chart" Target="/xl/charts/chart266.xml" Id="rId1" /><Relationship Type="http://schemas.openxmlformats.org/officeDocument/2006/relationships/chart" Target="/xl/charts/chart267.xml" Id="rId2" /></Relationships>
</file>

<file path=xl/drawings/_rels/drawing139.xml.rels><Relationships xmlns="http://schemas.openxmlformats.org/package/2006/relationships"><Relationship Type="http://schemas.openxmlformats.org/officeDocument/2006/relationships/chart" Target="/xl/charts/chart268.xml" Id="rId1" /><Relationship Type="http://schemas.openxmlformats.org/officeDocument/2006/relationships/chart" Target="/xl/charts/chart269.xml" Id="rId2" /></Relationships>
</file>

<file path=xl/drawings/_rels/drawing140.xml.rels><Relationships xmlns="http://schemas.openxmlformats.org/package/2006/relationships"><Relationship Type="http://schemas.openxmlformats.org/officeDocument/2006/relationships/chart" Target="/xl/charts/chart270.xml" Id="rId1" /><Relationship Type="http://schemas.openxmlformats.org/officeDocument/2006/relationships/chart" Target="/xl/charts/chart271.xml" Id="rId2" /></Relationships>
</file>

<file path=xl/drawings/_rels/drawing141.xml.rels><Relationships xmlns="http://schemas.openxmlformats.org/package/2006/relationships"><Relationship Type="http://schemas.openxmlformats.org/officeDocument/2006/relationships/chart" Target="/xl/charts/chart272.xml" Id="rId1" /><Relationship Type="http://schemas.openxmlformats.org/officeDocument/2006/relationships/chart" Target="/xl/charts/chart273.xml" Id="rId2" /></Relationships>
</file>

<file path=xl/drawings/_rels/drawing142.xml.rels><Relationships xmlns="http://schemas.openxmlformats.org/package/2006/relationships"><Relationship Type="http://schemas.openxmlformats.org/officeDocument/2006/relationships/chart" Target="/xl/charts/chart274.xml" Id="rId1" /><Relationship Type="http://schemas.openxmlformats.org/officeDocument/2006/relationships/chart" Target="/xl/charts/chart275.xml" Id="rId2" /></Relationships>
</file>

<file path=xl/drawings/_rels/drawing143.xml.rels><Relationships xmlns="http://schemas.openxmlformats.org/package/2006/relationships"><Relationship Type="http://schemas.openxmlformats.org/officeDocument/2006/relationships/chart" Target="/xl/charts/chart276.xml" Id="rId1" /><Relationship Type="http://schemas.openxmlformats.org/officeDocument/2006/relationships/chart" Target="/xl/charts/chart277.xml" Id="rId2" /></Relationships>
</file>

<file path=xl/drawings/_rels/drawing144.xml.rels><Relationships xmlns="http://schemas.openxmlformats.org/package/2006/relationships"><Relationship Type="http://schemas.openxmlformats.org/officeDocument/2006/relationships/chart" Target="/xl/charts/chart278.xml" Id="rId1" /><Relationship Type="http://schemas.openxmlformats.org/officeDocument/2006/relationships/chart" Target="/xl/charts/chart279.xml" Id="rId2" /></Relationships>
</file>

<file path=xl/drawings/_rels/drawing145.xml.rels><Relationships xmlns="http://schemas.openxmlformats.org/package/2006/relationships"><Relationship Type="http://schemas.openxmlformats.org/officeDocument/2006/relationships/chart" Target="/xl/charts/chart280.xml" Id="rId1" /><Relationship Type="http://schemas.openxmlformats.org/officeDocument/2006/relationships/chart" Target="/xl/charts/chart281.xml" Id="rId2" /></Relationships>
</file>

<file path=xl/drawings/_rels/drawing146.xml.rels><Relationships xmlns="http://schemas.openxmlformats.org/package/2006/relationships"><Relationship Type="http://schemas.openxmlformats.org/officeDocument/2006/relationships/chart" Target="/xl/charts/chart282.xml" Id="rId1" /><Relationship Type="http://schemas.openxmlformats.org/officeDocument/2006/relationships/chart" Target="/xl/charts/chart283.xml" Id="rId2" /></Relationships>
</file>

<file path=xl/drawings/_rels/drawing147.xml.rels><Relationships xmlns="http://schemas.openxmlformats.org/package/2006/relationships"><Relationship Type="http://schemas.openxmlformats.org/officeDocument/2006/relationships/chart" Target="/xl/charts/chart284.xml" Id="rId1" /><Relationship Type="http://schemas.openxmlformats.org/officeDocument/2006/relationships/chart" Target="/xl/charts/chart285.xml" Id="rId2" /></Relationships>
</file>

<file path=xl/drawings/_rels/drawing148.xml.rels><Relationships xmlns="http://schemas.openxmlformats.org/package/2006/relationships"><Relationship Type="http://schemas.openxmlformats.org/officeDocument/2006/relationships/chart" Target="/xl/charts/chart286.xml" Id="rId1" /><Relationship Type="http://schemas.openxmlformats.org/officeDocument/2006/relationships/chart" Target="/xl/charts/chart287.xml" Id="rId2" /></Relationships>
</file>

<file path=xl/drawings/_rels/drawing149.xml.rels><Relationships xmlns="http://schemas.openxmlformats.org/package/2006/relationships"><Relationship Type="http://schemas.openxmlformats.org/officeDocument/2006/relationships/chart" Target="/xl/charts/chart288.xml" Id="rId1" /><Relationship Type="http://schemas.openxmlformats.org/officeDocument/2006/relationships/chart" Target="/xl/charts/chart289.xml" Id="rId2" /></Relationships>
</file>

<file path=xl/drawings/_rels/drawing150.xml.rels><Relationships xmlns="http://schemas.openxmlformats.org/package/2006/relationships"><Relationship Type="http://schemas.openxmlformats.org/officeDocument/2006/relationships/chart" Target="/xl/charts/chart290.xml" Id="rId1" /><Relationship Type="http://schemas.openxmlformats.org/officeDocument/2006/relationships/chart" Target="/xl/charts/chart291.xml" Id="rId2" /></Relationships>
</file>

<file path=xl/drawings/_rels/drawing151.xml.rels><Relationships xmlns="http://schemas.openxmlformats.org/package/2006/relationships"><Relationship Type="http://schemas.openxmlformats.org/officeDocument/2006/relationships/chart" Target="/xl/charts/chart292.xml" Id="rId1" /><Relationship Type="http://schemas.openxmlformats.org/officeDocument/2006/relationships/chart" Target="/xl/charts/chart293.xml" Id="rId2" /></Relationships>
</file>

<file path=xl/drawings/_rels/drawing152.xml.rels><Relationships xmlns="http://schemas.openxmlformats.org/package/2006/relationships"><Relationship Type="http://schemas.openxmlformats.org/officeDocument/2006/relationships/chart" Target="/xl/charts/chart294.xml" Id="rId1" /><Relationship Type="http://schemas.openxmlformats.org/officeDocument/2006/relationships/chart" Target="/xl/charts/chart295.xml" Id="rId2" /></Relationships>
</file>

<file path=xl/drawings/_rels/drawing153.xml.rels><Relationships xmlns="http://schemas.openxmlformats.org/package/2006/relationships"><Relationship Type="http://schemas.openxmlformats.org/officeDocument/2006/relationships/chart" Target="/xl/charts/chart296.xml" Id="rId1" /><Relationship Type="http://schemas.openxmlformats.org/officeDocument/2006/relationships/chart" Target="/xl/charts/chart297.xml" Id="rId2" /></Relationships>
</file>

<file path=xl/drawings/_rels/drawing154.xml.rels><Relationships xmlns="http://schemas.openxmlformats.org/package/2006/relationships"><Relationship Type="http://schemas.openxmlformats.org/officeDocument/2006/relationships/chart" Target="/xl/charts/chart298.xml" Id="rId1" /><Relationship Type="http://schemas.openxmlformats.org/officeDocument/2006/relationships/chart" Target="/xl/charts/chart299.xml" Id="rId2" /></Relationships>
</file>

<file path=xl/drawings/_rels/drawing155.xml.rels><Relationships xmlns="http://schemas.openxmlformats.org/package/2006/relationships"><Relationship Type="http://schemas.openxmlformats.org/officeDocument/2006/relationships/chart" Target="/xl/charts/chart300.xml" Id="rId1" /><Relationship Type="http://schemas.openxmlformats.org/officeDocument/2006/relationships/chart" Target="/xl/charts/chart301.xml" Id="rId2" /></Relationships>
</file>

<file path=xl/drawings/_rels/drawing156.xml.rels><Relationships xmlns="http://schemas.openxmlformats.org/package/2006/relationships"><Relationship Type="http://schemas.openxmlformats.org/officeDocument/2006/relationships/chart" Target="/xl/charts/chart302.xml" Id="rId1" /><Relationship Type="http://schemas.openxmlformats.org/officeDocument/2006/relationships/chart" Target="/xl/charts/chart303.xml" Id="rId2" /></Relationships>
</file>

<file path=xl/drawings/_rels/drawing157.xml.rels><Relationships xmlns="http://schemas.openxmlformats.org/package/2006/relationships"><Relationship Type="http://schemas.openxmlformats.org/officeDocument/2006/relationships/chart" Target="/xl/charts/chart304.xml" Id="rId1" /><Relationship Type="http://schemas.openxmlformats.org/officeDocument/2006/relationships/chart" Target="/xl/charts/chart305.xml" Id="rId2" /></Relationships>
</file>

<file path=xl/drawings/_rels/drawing158.xml.rels><Relationships xmlns="http://schemas.openxmlformats.org/package/2006/relationships"><Relationship Type="http://schemas.openxmlformats.org/officeDocument/2006/relationships/chart" Target="/xl/charts/chart306.xml" Id="rId1" /><Relationship Type="http://schemas.openxmlformats.org/officeDocument/2006/relationships/chart" Target="/xl/charts/chart307.xml" Id="rId2" /></Relationships>
</file>

<file path=xl/drawings/_rels/drawing159.xml.rels><Relationships xmlns="http://schemas.openxmlformats.org/package/2006/relationships"><Relationship Type="http://schemas.openxmlformats.org/officeDocument/2006/relationships/chart" Target="/xl/charts/chart308.xml" Id="rId1" /><Relationship Type="http://schemas.openxmlformats.org/officeDocument/2006/relationships/chart" Target="/xl/charts/chart309.xml" Id="rId2" /></Relationships>
</file>

<file path=xl/drawings/_rels/drawing160.xml.rels><Relationships xmlns="http://schemas.openxmlformats.org/package/2006/relationships"><Relationship Type="http://schemas.openxmlformats.org/officeDocument/2006/relationships/chart" Target="/xl/charts/chart310.xml" Id="rId1" /><Relationship Type="http://schemas.openxmlformats.org/officeDocument/2006/relationships/chart" Target="/xl/charts/chart311.xml" Id="rId2" /></Relationships>
</file>

<file path=xl/drawings/_rels/drawing161.xml.rels><Relationships xmlns="http://schemas.openxmlformats.org/package/2006/relationships"><Relationship Type="http://schemas.openxmlformats.org/officeDocument/2006/relationships/chart" Target="/xl/charts/chart312.xml" Id="rId1" /><Relationship Type="http://schemas.openxmlformats.org/officeDocument/2006/relationships/chart" Target="/xl/charts/chart313.xml" Id="rId2" /></Relationships>
</file>

<file path=xl/drawings/_rels/drawing162.xml.rels><Relationships xmlns="http://schemas.openxmlformats.org/package/2006/relationships"><Relationship Type="http://schemas.openxmlformats.org/officeDocument/2006/relationships/chart" Target="/xl/charts/chart314.xml" Id="rId1" /><Relationship Type="http://schemas.openxmlformats.org/officeDocument/2006/relationships/chart" Target="/xl/charts/chart315.xml" Id="rId2" /></Relationships>
</file>

<file path=xl/drawings/_rels/drawing163.xml.rels><Relationships xmlns="http://schemas.openxmlformats.org/package/2006/relationships"><Relationship Type="http://schemas.openxmlformats.org/officeDocument/2006/relationships/chart" Target="/xl/charts/chart316.xml" Id="rId1" /><Relationship Type="http://schemas.openxmlformats.org/officeDocument/2006/relationships/chart" Target="/xl/charts/chart317.xml" Id="rId2" /></Relationships>
</file>

<file path=xl/drawings/_rels/drawing164.xml.rels><Relationships xmlns="http://schemas.openxmlformats.org/package/2006/relationships"><Relationship Type="http://schemas.openxmlformats.org/officeDocument/2006/relationships/chart" Target="/xl/charts/chart318.xml" Id="rId1" /><Relationship Type="http://schemas.openxmlformats.org/officeDocument/2006/relationships/chart" Target="/xl/charts/chart319.xml" Id="rId2" /></Relationships>
</file>

<file path=xl/drawings/_rels/drawing165.xml.rels><Relationships xmlns="http://schemas.openxmlformats.org/package/2006/relationships"><Relationship Type="http://schemas.openxmlformats.org/officeDocument/2006/relationships/chart" Target="/xl/charts/chart320.xml" Id="rId1" /><Relationship Type="http://schemas.openxmlformats.org/officeDocument/2006/relationships/chart" Target="/xl/charts/chart321.xml" Id="rId2" /></Relationships>
</file>

<file path=xl/drawings/_rels/drawing166.xml.rels><Relationships xmlns="http://schemas.openxmlformats.org/package/2006/relationships"><Relationship Type="http://schemas.openxmlformats.org/officeDocument/2006/relationships/chart" Target="/xl/charts/chart322.xml" Id="rId1" /><Relationship Type="http://schemas.openxmlformats.org/officeDocument/2006/relationships/chart" Target="/xl/charts/chart323.xml" Id="rId2" /></Relationships>
</file>

<file path=xl/drawings/_rels/drawing167.xml.rels><Relationships xmlns="http://schemas.openxmlformats.org/package/2006/relationships"><Relationship Type="http://schemas.openxmlformats.org/officeDocument/2006/relationships/chart" Target="/xl/charts/chart324.xml" Id="rId1" /><Relationship Type="http://schemas.openxmlformats.org/officeDocument/2006/relationships/chart" Target="/xl/charts/chart325.xml" Id="rId2" /></Relationships>
</file>

<file path=xl/drawings/_rels/drawing168.xml.rels><Relationships xmlns="http://schemas.openxmlformats.org/package/2006/relationships"><Relationship Type="http://schemas.openxmlformats.org/officeDocument/2006/relationships/chart" Target="/xl/charts/chart326.xml" Id="rId1" /><Relationship Type="http://schemas.openxmlformats.org/officeDocument/2006/relationships/chart" Target="/xl/charts/chart327.xml" Id="rId2" /></Relationships>
</file>

<file path=xl/drawings/_rels/drawing169.xml.rels><Relationships xmlns="http://schemas.openxmlformats.org/package/2006/relationships"><Relationship Type="http://schemas.openxmlformats.org/officeDocument/2006/relationships/chart" Target="/xl/charts/chart328.xml" Id="rId1" /><Relationship Type="http://schemas.openxmlformats.org/officeDocument/2006/relationships/chart" Target="/xl/charts/chart329.xml" Id="rId2" /></Relationships>
</file>

<file path=xl/drawings/_rels/drawing170.xml.rels><Relationships xmlns="http://schemas.openxmlformats.org/package/2006/relationships"><Relationship Type="http://schemas.openxmlformats.org/officeDocument/2006/relationships/chart" Target="/xl/charts/chart330.xml" Id="rId1" /><Relationship Type="http://schemas.openxmlformats.org/officeDocument/2006/relationships/chart" Target="/xl/charts/chart331.xml" Id="rId2" /></Relationships>
</file>

<file path=xl/drawings/_rels/drawing171.xml.rels><Relationships xmlns="http://schemas.openxmlformats.org/package/2006/relationships"><Relationship Type="http://schemas.openxmlformats.org/officeDocument/2006/relationships/chart" Target="/xl/charts/chart332.xml" Id="rId1" /><Relationship Type="http://schemas.openxmlformats.org/officeDocument/2006/relationships/chart" Target="/xl/charts/chart333.xml" Id="rId2" /></Relationships>
</file>

<file path=xl/drawings/_rels/drawing172.xml.rels><Relationships xmlns="http://schemas.openxmlformats.org/package/2006/relationships"><Relationship Type="http://schemas.openxmlformats.org/officeDocument/2006/relationships/chart" Target="/xl/charts/chart334.xml" Id="rId1" /><Relationship Type="http://schemas.openxmlformats.org/officeDocument/2006/relationships/chart" Target="/xl/charts/chart335.xml" Id="rId2" /></Relationships>
</file>

<file path=xl/drawings/_rels/drawing173.xml.rels><Relationships xmlns="http://schemas.openxmlformats.org/package/2006/relationships"><Relationship Type="http://schemas.openxmlformats.org/officeDocument/2006/relationships/chart" Target="/xl/charts/chart336.xml" Id="rId1" /><Relationship Type="http://schemas.openxmlformats.org/officeDocument/2006/relationships/chart" Target="/xl/charts/chart337.xml" Id="rId2" /></Relationships>
</file>

<file path=xl/drawings/_rels/drawing174.xml.rels><Relationships xmlns="http://schemas.openxmlformats.org/package/2006/relationships"><Relationship Type="http://schemas.openxmlformats.org/officeDocument/2006/relationships/chart" Target="/xl/charts/chart338.xml" Id="rId1" /><Relationship Type="http://schemas.openxmlformats.org/officeDocument/2006/relationships/chart" Target="/xl/charts/chart339.xml" Id="rId2" /></Relationships>
</file>

<file path=xl/drawings/_rels/drawing175.xml.rels><Relationships xmlns="http://schemas.openxmlformats.org/package/2006/relationships"><Relationship Type="http://schemas.openxmlformats.org/officeDocument/2006/relationships/chart" Target="/xl/charts/chart340.xml" Id="rId1" /><Relationship Type="http://schemas.openxmlformats.org/officeDocument/2006/relationships/chart" Target="/xl/charts/chart341.xml" Id="rId2" /></Relationships>
</file>

<file path=xl/drawings/_rels/drawing176.xml.rels><Relationships xmlns="http://schemas.openxmlformats.org/package/2006/relationships"><Relationship Type="http://schemas.openxmlformats.org/officeDocument/2006/relationships/chart" Target="/xl/charts/chart342.xml" Id="rId1" /><Relationship Type="http://schemas.openxmlformats.org/officeDocument/2006/relationships/chart" Target="/xl/charts/chart343.xml" Id="rId2" /></Relationships>
</file>

<file path=xl/drawings/_rels/drawing177.xml.rels><Relationships xmlns="http://schemas.openxmlformats.org/package/2006/relationships"><Relationship Type="http://schemas.openxmlformats.org/officeDocument/2006/relationships/chart" Target="/xl/charts/chart344.xml" Id="rId1" /><Relationship Type="http://schemas.openxmlformats.org/officeDocument/2006/relationships/chart" Target="/xl/charts/chart345.xml" Id="rId2" /></Relationships>
</file>

<file path=xl/drawings/_rels/drawing178.xml.rels><Relationships xmlns="http://schemas.openxmlformats.org/package/2006/relationships"><Relationship Type="http://schemas.openxmlformats.org/officeDocument/2006/relationships/chart" Target="/xl/charts/chart346.xml" Id="rId1" /><Relationship Type="http://schemas.openxmlformats.org/officeDocument/2006/relationships/chart" Target="/xl/charts/chart347.xml" Id="rId2" /></Relationships>
</file>

<file path=xl/drawings/_rels/drawing179.xml.rels><Relationships xmlns="http://schemas.openxmlformats.org/package/2006/relationships"><Relationship Type="http://schemas.openxmlformats.org/officeDocument/2006/relationships/chart" Target="/xl/charts/chart348.xml" Id="rId1" /><Relationship Type="http://schemas.openxmlformats.org/officeDocument/2006/relationships/chart" Target="/xl/charts/chart349.xml" Id="rId2" /></Relationships>
</file>

<file path=xl/drawings/_rels/drawing180.xml.rels><Relationships xmlns="http://schemas.openxmlformats.org/package/2006/relationships"><Relationship Type="http://schemas.openxmlformats.org/officeDocument/2006/relationships/chart" Target="/xl/charts/chart350.xml" Id="rId1" /><Relationship Type="http://schemas.openxmlformats.org/officeDocument/2006/relationships/chart" Target="/xl/charts/chart351.xml" Id="rId2" /></Relationships>
</file>

<file path=xl/drawings/_rels/drawing181.xml.rels><Relationships xmlns="http://schemas.openxmlformats.org/package/2006/relationships"><Relationship Type="http://schemas.openxmlformats.org/officeDocument/2006/relationships/chart" Target="/xl/charts/chart352.xml" Id="rId1" /><Relationship Type="http://schemas.openxmlformats.org/officeDocument/2006/relationships/chart" Target="/xl/charts/chart353.xml" Id="rId2" /></Relationships>
</file>

<file path=xl/drawings/_rels/drawing182.xml.rels><Relationships xmlns="http://schemas.openxmlformats.org/package/2006/relationships"><Relationship Type="http://schemas.openxmlformats.org/officeDocument/2006/relationships/chart" Target="/xl/charts/chart354.xml" Id="rId1" /><Relationship Type="http://schemas.openxmlformats.org/officeDocument/2006/relationships/chart" Target="/xl/charts/chart355.xml" Id="rId2" /></Relationships>
</file>

<file path=xl/drawings/_rels/drawing183.xml.rels><Relationships xmlns="http://schemas.openxmlformats.org/package/2006/relationships"><Relationship Type="http://schemas.openxmlformats.org/officeDocument/2006/relationships/chart" Target="/xl/charts/chart356.xml" Id="rId1" /><Relationship Type="http://schemas.openxmlformats.org/officeDocument/2006/relationships/chart" Target="/xl/charts/chart357.xml" Id="rId2" /></Relationships>
</file>

<file path=xl/drawings/_rels/drawing184.xml.rels><Relationships xmlns="http://schemas.openxmlformats.org/package/2006/relationships"><Relationship Type="http://schemas.openxmlformats.org/officeDocument/2006/relationships/chart" Target="/xl/charts/chart358.xml" Id="rId1" /><Relationship Type="http://schemas.openxmlformats.org/officeDocument/2006/relationships/chart" Target="/xl/charts/chart359.xml" Id="rId2" /></Relationships>
</file>

<file path=xl/drawings/_rels/drawing185.xml.rels><Relationships xmlns="http://schemas.openxmlformats.org/package/2006/relationships"><Relationship Type="http://schemas.openxmlformats.org/officeDocument/2006/relationships/chart" Target="/xl/charts/chart360.xml" Id="rId1" /><Relationship Type="http://schemas.openxmlformats.org/officeDocument/2006/relationships/chart" Target="/xl/charts/chart361.xml" Id="rId2" /></Relationships>
</file>

<file path=xl/drawings/_rels/drawing186.xml.rels><Relationships xmlns="http://schemas.openxmlformats.org/package/2006/relationships"><Relationship Type="http://schemas.openxmlformats.org/officeDocument/2006/relationships/chart" Target="/xl/charts/chart362.xml" Id="rId1" /><Relationship Type="http://schemas.openxmlformats.org/officeDocument/2006/relationships/chart" Target="/xl/charts/chart363.xml" Id="rId2" /></Relationships>
</file>

<file path=xl/drawings/_rels/drawing187.xml.rels><Relationships xmlns="http://schemas.openxmlformats.org/package/2006/relationships"><Relationship Type="http://schemas.openxmlformats.org/officeDocument/2006/relationships/chart" Target="/xl/charts/chart364.xml" Id="rId1" /><Relationship Type="http://schemas.openxmlformats.org/officeDocument/2006/relationships/chart" Target="/xl/charts/chart365.xml" Id="rId2" /></Relationships>
</file>

<file path=xl/drawings/_rels/drawing188.xml.rels><Relationships xmlns="http://schemas.openxmlformats.org/package/2006/relationships"><Relationship Type="http://schemas.openxmlformats.org/officeDocument/2006/relationships/chart" Target="/xl/charts/chart366.xml" Id="rId1" /><Relationship Type="http://schemas.openxmlformats.org/officeDocument/2006/relationships/chart" Target="/xl/charts/chart367.xml" Id="rId2" /></Relationships>
</file>

<file path=xl/drawings/_rels/drawing189.xml.rels><Relationships xmlns="http://schemas.openxmlformats.org/package/2006/relationships"><Relationship Type="http://schemas.openxmlformats.org/officeDocument/2006/relationships/chart" Target="/xl/charts/chart368.xml" Id="rId1" /><Relationship Type="http://schemas.openxmlformats.org/officeDocument/2006/relationships/chart" Target="/xl/charts/chart369.xml" Id="rId2" /></Relationships>
</file>

<file path=xl/drawings/_rels/drawing190.xml.rels><Relationships xmlns="http://schemas.openxmlformats.org/package/2006/relationships"><Relationship Type="http://schemas.openxmlformats.org/officeDocument/2006/relationships/chart" Target="/xl/charts/chart370.xml" Id="rId1" /><Relationship Type="http://schemas.openxmlformats.org/officeDocument/2006/relationships/chart" Target="/xl/charts/chart371.xml" Id="rId2" /></Relationships>
</file>

<file path=xl/drawings/_rels/drawing191.xml.rels><Relationships xmlns="http://schemas.openxmlformats.org/package/2006/relationships"><Relationship Type="http://schemas.openxmlformats.org/officeDocument/2006/relationships/chart" Target="/xl/charts/chart372.xml" Id="rId1" /><Relationship Type="http://schemas.openxmlformats.org/officeDocument/2006/relationships/chart" Target="/xl/charts/chart373.xml" Id="rId2" /></Relationships>
</file>

<file path=xl/drawings/_rels/drawing192.xml.rels><Relationships xmlns="http://schemas.openxmlformats.org/package/2006/relationships"><Relationship Type="http://schemas.openxmlformats.org/officeDocument/2006/relationships/chart" Target="/xl/charts/chart374.xml" Id="rId1" /><Relationship Type="http://schemas.openxmlformats.org/officeDocument/2006/relationships/chart" Target="/xl/charts/chart375.xml" Id="rId2" /></Relationships>
</file>

<file path=xl/drawings/_rels/drawing193.xml.rels><Relationships xmlns="http://schemas.openxmlformats.org/package/2006/relationships"><Relationship Type="http://schemas.openxmlformats.org/officeDocument/2006/relationships/chart" Target="/xl/charts/chart376.xml" Id="rId1" /><Relationship Type="http://schemas.openxmlformats.org/officeDocument/2006/relationships/chart" Target="/xl/charts/chart377.xml" Id="rId2" /></Relationships>
</file>

<file path=xl/drawings/_rels/drawing194.xml.rels><Relationships xmlns="http://schemas.openxmlformats.org/package/2006/relationships"><Relationship Type="http://schemas.openxmlformats.org/officeDocument/2006/relationships/chart" Target="/xl/charts/chart378.xml" Id="rId1" /><Relationship Type="http://schemas.openxmlformats.org/officeDocument/2006/relationships/chart" Target="/xl/charts/chart379.xml" Id="rId2" /></Relationships>
</file>

<file path=xl/drawings/_rels/drawing195.xml.rels><Relationships xmlns="http://schemas.openxmlformats.org/package/2006/relationships"><Relationship Type="http://schemas.openxmlformats.org/officeDocument/2006/relationships/chart" Target="/xl/charts/chart380.xml" Id="rId1" /><Relationship Type="http://schemas.openxmlformats.org/officeDocument/2006/relationships/chart" Target="/xl/charts/chart381.xml" Id="rId2" /></Relationships>
</file>

<file path=xl/drawings/_rels/drawing196.xml.rels><Relationships xmlns="http://schemas.openxmlformats.org/package/2006/relationships"><Relationship Type="http://schemas.openxmlformats.org/officeDocument/2006/relationships/chart" Target="/xl/charts/chart382.xml" Id="rId1" /><Relationship Type="http://schemas.openxmlformats.org/officeDocument/2006/relationships/chart" Target="/xl/charts/chart383.xml" Id="rId2" /></Relationships>
</file>

<file path=xl/drawings/_rels/drawing197.xml.rels><Relationships xmlns="http://schemas.openxmlformats.org/package/2006/relationships"><Relationship Type="http://schemas.openxmlformats.org/officeDocument/2006/relationships/chart" Target="/xl/charts/chart384.xml" Id="rId1" /><Relationship Type="http://schemas.openxmlformats.org/officeDocument/2006/relationships/chart" Target="/xl/charts/chart385.xml" Id="rId2" /></Relationships>
</file>

<file path=xl/drawings/_rels/drawing198.xml.rels><Relationships xmlns="http://schemas.openxmlformats.org/package/2006/relationships"><Relationship Type="http://schemas.openxmlformats.org/officeDocument/2006/relationships/chart" Target="/xl/charts/chart386.xml" Id="rId1" /><Relationship Type="http://schemas.openxmlformats.org/officeDocument/2006/relationships/chart" Target="/xl/charts/chart387.xml" Id="rId2" /></Relationships>
</file>

<file path=xl/drawings/_rels/drawing199.xml.rels><Relationships xmlns="http://schemas.openxmlformats.org/package/2006/relationships"><Relationship Type="http://schemas.openxmlformats.org/officeDocument/2006/relationships/chart" Target="/xl/charts/chart388.xml" Id="rId1" /><Relationship Type="http://schemas.openxmlformats.org/officeDocument/2006/relationships/chart" Target="/xl/charts/chart389.xml" Id="rId2" /></Relationships>
</file>

<file path=xl/drawings/_rels/drawing200.xml.rels><Relationships xmlns="http://schemas.openxmlformats.org/package/2006/relationships"><Relationship Type="http://schemas.openxmlformats.org/officeDocument/2006/relationships/chart" Target="/xl/charts/chart390.xml" Id="rId1" /><Relationship Type="http://schemas.openxmlformats.org/officeDocument/2006/relationships/chart" Target="/xl/charts/chart391.xml" Id="rId2" /></Relationships>
</file>

<file path=xl/drawings/_rels/drawing201.xml.rels><Relationships xmlns="http://schemas.openxmlformats.org/package/2006/relationships"><Relationship Type="http://schemas.openxmlformats.org/officeDocument/2006/relationships/chart" Target="/xl/charts/chart392.xml" Id="rId1" /><Relationship Type="http://schemas.openxmlformats.org/officeDocument/2006/relationships/chart" Target="/xl/charts/chart393.xml" Id="rId2" /></Relationships>
</file>

<file path=xl/drawings/_rels/drawing202.xml.rels><Relationships xmlns="http://schemas.openxmlformats.org/package/2006/relationships"><Relationship Type="http://schemas.openxmlformats.org/officeDocument/2006/relationships/chart" Target="/xl/charts/chart394.xml" Id="rId1" /><Relationship Type="http://schemas.openxmlformats.org/officeDocument/2006/relationships/chart" Target="/xl/charts/chart395.xml" Id="rId2" /></Relationships>
</file>

<file path=xl/drawings/_rels/drawing203.xml.rels><Relationships xmlns="http://schemas.openxmlformats.org/package/2006/relationships"><Relationship Type="http://schemas.openxmlformats.org/officeDocument/2006/relationships/chart" Target="/xl/charts/chart396.xml" Id="rId1" /><Relationship Type="http://schemas.openxmlformats.org/officeDocument/2006/relationships/chart" Target="/xl/charts/chart397.xml" Id="rId2" /></Relationships>
</file>

<file path=xl/drawings/_rels/drawing204.xml.rels><Relationships xmlns="http://schemas.openxmlformats.org/package/2006/relationships"><Relationship Type="http://schemas.openxmlformats.org/officeDocument/2006/relationships/chart" Target="/xl/charts/chart398.xml" Id="rId1" /><Relationship Type="http://schemas.openxmlformats.org/officeDocument/2006/relationships/chart" Target="/xl/charts/chart399.xml" Id="rId2" /></Relationships>
</file>

<file path=xl/drawings/_rels/drawing205.xml.rels><Relationships xmlns="http://schemas.openxmlformats.org/package/2006/relationships"><Relationship Type="http://schemas.openxmlformats.org/officeDocument/2006/relationships/chart" Target="/xl/charts/chart400.xml" Id="rId1" /><Relationship Type="http://schemas.openxmlformats.org/officeDocument/2006/relationships/chart" Target="/xl/charts/chart401.xml" Id="rId2" /></Relationships>
</file>

<file path=xl/drawings/_rels/drawing206.xml.rels><Relationships xmlns="http://schemas.openxmlformats.org/package/2006/relationships"><Relationship Type="http://schemas.openxmlformats.org/officeDocument/2006/relationships/chart" Target="/xl/charts/chart402.xml" Id="rId1" /><Relationship Type="http://schemas.openxmlformats.org/officeDocument/2006/relationships/chart" Target="/xl/charts/chart403.xml" Id="rId2" /></Relationships>
</file>

<file path=xl/drawings/_rels/drawing207.xml.rels><Relationships xmlns="http://schemas.openxmlformats.org/package/2006/relationships"><Relationship Type="http://schemas.openxmlformats.org/officeDocument/2006/relationships/chart" Target="/xl/charts/chart404.xml" Id="rId1" /><Relationship Type="http://schemas.openxmlformats.org/officeDocument/2006/relationships/chart" Target="/xl/charts/chart405.xml" Id="rId2" /></Relationships>
</file>

<file path=xl/drawings/_rels/drawing208.xml.rels><Relationships xmlns="http://schemas.openxmlformats.org/package/2006/relationships"><Relationship Type="http://schemas.openxmlformats.org/officeDocument/2006/relationships/chart" Target="/xl/charts/chart406.xml" Id="rId1" /><Relationship Type="http://schemas.openxmlformats.org/officeDocument/2006/relationships/chart" Target="/xl/charts/chart407.xml" Id="rId2" /></Relationships>
</file>

<file path=xl/drawings/_rels/drawing209.xml.rels><Relationships xmlns="http://schemas.openxmlformats.org/package/2006/relationships"><Relationship Type="http://schemas.openxmlformats.org/officeDocument/2006/relationships/chart" Target="/xl/charts/chart408.xml" Id="rId1" /><Relationship Type="http://schemas.openxmlformats.org/officeDocument/2006/relationships/chart" Target="/xl/charts/chart409.xml" Id="rId2" /></Relationships>
</file>

<file path=xl/drawings/_rels/drawing210.xml.rels><Relationships xmlns="http://schemas.openxmlformats.org/package/2006/relationships"><Relationship Type="http://schemas.openxmlformats.org/officeDocument/2006/relationships/chart" Target="/xl/charts/chart410.xml" Id="rId1" /><Relationship Type="http://schemas.openxmlformats.org/officeDocument/2006/relationships/chart" Target="/xl/charts/chart411.xml" Id="rId2" /></Relationships>
</file>

<file path=xl/drawings/_rels/drawing211.xml.rels><Relationships xmlns="http://schemas.openxmlformats.org/package/2006/relationships"><Relationship Type="http://schemas.openxmlformats.org/officeDocument/2006/relationships/chart" Target="/xl/charts/chart412.xml" Id="rId1" /><Relationship Type="http://schemas.openxmlformats.org/officeDocument/2006/relationships/chart" Target="/xl/charts/chart413.xml" Id="rId2" /></Relationships>
</file>

<file path=xl/drawings/_rels/drawing212.xml.rels><Relationships xmlns="http://schemas.openxmlformats.org/package/2006/relationships"><Relationship Type="http://schemas.openxmlformats.org/officeDocument/2006/relationships/chart" Target="/xl/charts/chart414.xml" Id="rId1" /><Relationship Type="http://schemas.openxmlformats.org/officeDocument/2006/relationships/chart" Target="/xl/charts/chart415.xml" Id="rId2" /></Relationships>
</file>

<file path=xl/drawings/_rels/drawing213.xml.rels><Relationships xmlns="http://schemas.openxmlformats.org/package/2006/relationships"><Relationship Type="http://schemas.openxmlformats.org/officeDocument/2006/relationships/chart" Target="/xl/charts/chart416.xml" Id="rId1" /><Relationship Type="http://schemas.openxmlformats.org/officeDocument/2006/relationships/chart" Target="/xl/charts/chart417.xml" Id="rId2" /></Relationships>
</file>

<file path=xl/drawings/_rels/drawing214.xml.rels><Relationships xmlns="http://schemas.openxmlformats.org/package/2006/relationships"><Relationship Type="http://schemas.openxmlformats.org/officeDocument/2006/relationships/chart" Target="/xl/charts/chart418.xml" Id="rId1" /><Relationship Type="http://schemas.openxmlformats.org/officeDocument/2006/relationships/chart" Target="/xl/charts/chart419.xml" Id="rId2" /></Relationships>
</file>

<file path=xl/drawings/_rels/drawing215.xml.rels><Relationships xmlns="http://schemas.openxmlformats.org/package/2006/relationships"><Relationship Type="http://schemas.openxmlformats.org/officeDocument/2006/relationships/chart" Target="/xl/charts/chart420.xml" Id="rId1" /><Relationship Type="http://schemas.openxmlformats.org/officeDocument/2006/relationships/chart" Target="/xl/charts/chart421.xml" Id="rId2" /></Relationships>
</file>

<file path=xl/drawings/_rels/drawing216.xml.rels><Relationships xmlns="http://schemas.openxmlformats.org/package/2006/relationships"><Relationship Type="http://schemas.openxmlformats.org/officeDocument/2006/relationships/chart" Target="/xl/charts/chart422.xml" Id="rId1" /><Relationship Type="http://schemas.openxmlformats.org/officeDocument/2006/relationships/chart" Target="/xl/charts/chart423.xml" Id="rId2" /></Relationships>
</file>

<file path=xl/drawings/_rels/drawing217.xml.rels><Relationships xmlns="http://schemas.openxmlformats.org/package/2006/relationships"><Relationship Type="http://schemas.openxmlformats.org/officeDocument/2006/relationships/chart" Target="/xl/charts/chart424.xml" Id="rId1" /><Relationship Type="http://schemas.openxmlformats.org/officeDocument/2006/relationships/chart" Target="/xl/charts/chart425.xml" Id="rId2" /></Relationships>
</file>

<file path=xl/drawings/_rels/drawing218.xml.rels><Relationships xmlns="http://schemas.openxmlformats.org/package/2006/relationships"><Relationship Type="http://schemas.openxmlformats.org/officeDocument/2006/relationships/chart" Target="/xl/charts/chart426.xml" Id="rId1" /><Relationship Type="http://schemas.openxmlformats.org/officeDocument/2006/relationships/chart" Target="/xl/charts/chart427.xml" Id="rId2" /></Relationships>
</file>

<file path=xl/drawings/_rels/drawing219.xml.rels><Relationships xmlns="http://schemas.openxmlformats.org/package/2006/relationships"><Relationship Type="http://schemas.openxmlformats.org/officeDocument/2006/relationships/chart" Target="/xl/charts/chart428.xml" Id="rId1" /><Relationship Type="http://schemas.openxmlformats.org/officeDocument/2006/relationships/chart" Target="/xl/charts/chart429.xml" Id="rId2" /></Relationships>
</file>

<file path=xl/drawings/_rels/drawing220.xml.rels><Relationships xmlns="http://schemas.openxmlformats.org/package/2006/relationships"><Relationship Type="http://schemas.openxmlformats.org/officeDocument/2006/relationships/chart" Target="/xl/charts/chart430.xml" Id="rId1" /><Relationship Type="http://schemas.openxmlformats.org/officeDocument/2006/relationships/chart" Target="/xl/charts/chart431.xml" Id="rId2" /></Relationships>
</file>

<file path=xl/drawings/_rels/drawing221.xml.rels><Relationships xmlns="http://schemas.openxmlformats.org/package/2006/relationships"><Relationship Type="http://schemas.openxmlformats.org/officeDocument/2006/relationships/chart" Target="/xl/charts/chart432.xml" Id="rId1" /><Relationship Type="http://schemas.openxmlformats.org/officeDocument/2006/relationships/chart" Target="/xl/charts/chart433.xml" Id="rId2" /></Relationships>
</file>

<file path=xl/drawings/_rels/drawing222.xml.rels><Relationships xmlns="http://schemas.openxmlformats.org/package/2006/relationships"><Relationship Type="http://schemas.openxmlformats.org/officeDocument/2006/relationships/chart" Target="/xl/charts/chart434.xml" Id="rId1" /><Relationship Type="http://schemas.openxmlformats.org/officeDocument/2006/relationships/chart" Target="/xl/charts/chart435.xml" Id="rId2" /></Relationships>
</file>

<file path=xl/drawings/_rels/drawing223.xml.rels><Relationships xmlns="http://schemas.openxmlformats.org/package/2006/relationships"><Relationship Type="http://schemas.openxmlformats.org/officeDocument/2006/relationships/chart" Target="/xl/charts/chart436.xml" Id="rId1" /><Relationship Type="http://schemas.openxmlformats.org/officeDocument/2006/relationships/chart" Target="/xl/charts/chart437.xml" Id="rId2" /></Relationships>
</file>

<file path=xl/drawings/_rels/drawing224.xml.rels><Relationships xmlns="http://schemas.openxmlformats.org/package/2006/relationships"><Relationship Type="http://schemas.openxmlformats.org/officeDocument/2006/relationships/chart" Target="/xl/charts/chart438.xml" Id="rId1" /><Relationship Type="http://schemas.openxmlformats.org/officeDocument/2006/relationships/chart" Target="/xl/charts/chart439.xml" Id="rId2" /></Relationships>
</file>

<file path=xl/drawings/_rels/drawing225.xml.rels><Relationships xmlns="http://schemas.openxmlformats.org/package/2006/relationships"><Relationship Type="http://schemas.openxmlformats.org/officeDocument/2006/relationships/chart" Target="/xl/charts/chart440.xml" Id="rId1" /><Relationship Type="http://schemas.openxmlformats.org/officeDocument/2006/relationships/chart" Target="/xl/charts/chart441.xml" Id="rId2" /></Relationships>
</file>

<file path=xl/drawings/_rels/drawing226.xml.rels><Relationships xmlns="http://schemas.openxmlformats.org/package/2006/relationships"><Relationship Type="http://schemas.openxmlformats.org/officeDocument/2006/relationships/chart" Target="/xl/charts/chart442.xml" Id="rId1" /><Relationship Type="http://schemas.openxmlformats.org/officeDocument/2006/relationships/chart" Target="/xl/charts/chart443.xml" Id="rId2" /></Relationships>
</file>

<file path=xl/drawings/_rels/drawing227.xml.rels><Relationships xmlns="http://schemas.openxmlformats.org/package/2006/relationships"><Relationship Type="http://schemas.openxmlformats.org/officeDocument/2006/relationships/chart" Target="/xl/charts/chart444.xml" Id="rId1" /><Relationship Type="http://schemas.openxmlformats.org/officeDocument/2006/relationships/chart" Target="/xl/charts/chart445.xml" Id="rId2" /></Relationships>
</file>

<file path=xl/drawings/_rels/drawing228.xml.rels><Relationships xmlns="http://schemas.openxmlformats.org/package/2006/relationships"><Relationship Type="http://schemas.openxmlformats.org/officeDocument/2006/relationships/chart" Target="/xl/charts/chart446.xml" Id="rId1" /><Relationship Type="http://schemas.openxmlformats.org/officeDocument/2006/relationships/chart" Target="/xl/charts/chart447.xml" Id="rId2" /></Relationships>
</file>

<file path=xl/drawings/_rels/drawing229.xml.rels><Relationships xmlns="http://schemas.openxmlformats.org/package/2006/relationships"><Relationship Type="http://schemas.openxmlformats.org/officeDocument/2006/relationships/chart" Target="/xl/charts/chart448.xml" Id="rId1" /><Relationship Type="http://schemas.openxmlformats.org/officeDocument/2006/relationships/chart" Target="/xl/charts/chart449.xml" Id="rId2" /></Relationships>
</file>

<file path=xl/drawings/_rels/drawing230.xml.rels><Relationships xmlns="http://schemas.openxmlformats.org/package/2006/relationships"><Relationship Type="http://schemas.openxmlformats.org/officeDocument/2006/relationships/chart" Target="/xl/charts/chart450.xml" Id="rId1" /><Relationship Type="http://schemas.openxmlformats.org/officeDocument/2006/relationships/chart" Target="/xl/charts/chart451.xml" Id="rId2" /></Relationships>
</file>

<file path=xl/drawings/_rels/drawing231.xml.rels><Relationships xmlns="http://schemas.openxmlformats.org/package/2006/relationships"><Relationship Type="http://schemas.openxmlformats.org/officeDocument/2006/relationships/chart" Target="/xl/charts/chart452.xml" Id="rId1" /><Relationship Type="http://schemas.openxmlformats.org/officeDocument/2006/relationships/chart" Target="/xl/charts/chart453.xml" Id="rId2" /></Relationships>
</file>

<file path=xl/drawings/_rels/drawing232.xml.rels><Relationships xmlns="http://schemas.openxmlformats.org/package/2006/relationships"><Relationship Type="http://schemas.openxmlformats.org/officeDocument/2006/relationships/chart" Target="/xl/charts/chart454.xml" Id="rId1" /><Relationship Type="http://schemas.openxmlformats.org/officeDocument/2006/relationships/chart" Target="/xl/charts/chart455.xml" Id="rId2" /></Relationships>
</file>

<file path=xl/drawings/_rels/drawing233.xml.rels><Relationships xmlns="http://schemas.openxmlformats.org/package/2006/relationships"><Relationship Type="http://schemas.openxmlformats.org/officeDocument/2006/relationships/chart" Target="/xl/charts/chart456.xml" Id="rId1" /><Relationship Type="http://schemas.openxmlformats.org/officeDocument/2006/relationships/chart" Target="/xl/charts/chart457.xml" Id="rId2" /></Relationships>
</file>

<file path=xl/drawings/_rels/drawing234.xml.rels><Relationships xmlns="http://schemas.openxmlformats.org/package/2006/relationships"><Relationship Type="http://schemas.openxmlformats.org/officeDocument/2006/relationships/chart" Target="/xl/charts/chart458.xml" Id="rId1" /><Relationship Type="http://schemas.openxmlformats.org/officeDocument/2006/relationships/chart" Target="/xl/charts/chart459.xml" Id="rId2" /></Relationships>
</file>

<file path=xl/drawings/_rels/drawing235.xml.rels><Relationships xmlns="http://schemas.openxmlformats.org/package/2006/relationships"><Relationship Type="http://schemas.openxmlformats.org/officeDocument/2006/relationships/chart" Target="/xl/charts/chart460.xml" Id="rId1" /><Relationship Type="http://schemas.openxmlformats.org/officeDocument/2006/relationships/chart" Target="/xl/charts/chart461.xml" Id="rId2" /></Relationships>
</file>

<file path=xl/drawings/_rels/drawing236.xml.rels><Relationships xmlns="http://schemas.openxmlformats.org/package/2006/relationships"><Relationship Type="http://schemas.openxmlformats.org/officeDocument/2006/relationships/chart" Target="/xl/charts/chart462.xml" Id="rId1" /><Relationship Type="http://schemas.openxmlformats.org/officeDocument/2006/relationships/chart" Target="/xl/charts/chart463.xml" Id="rId2" /></Relationships>
</file>

<file path=xl/drawings/_rels/drawing237.xml.rels><Relationships xmlns="http://schemas.openxmlformats.org/package/2006/relationships"><Relationship Type="http://schemas.openxmlformats.org/officeDocument/2006/relationships/chart" Target="/xl/charts/chart464.xml" Id="rId1" /><Relationship Type="http://schemas.openxmlformats.org/officeDocument/2006/relationships/chart" Target="/xl/charts/chart465.xml" Id="rId2" /></Relationships>
</file>

<file path=xl/drawings/_rels/drawing238.xml.rels><Relationships xmlns="http://schemas.openxmlformats.org/package/2006/relationships"><Relationship Type="http://schemas.openxmlformats.org/officeDocument/2006/relationships/chart" Target="/xl/charts/chart466.xml" Id="rId1" /><Relationship Type="http://schemas.openxmlformats.org/officeDocument/2006/relationships/chart" Target="/xl/charts/chart467.xml" Id="rId2" /></Relationships>
</file>

<file path=xl/drawings/_rels/drawing239.xml.rels><Relationships xmlns="http://schemas.openxmlformats.org/package/2006/relationships"><Relationship Type="http://schemas.openxmlformats.org/officeDocument/2006/relationships/chart" Target="/xl/charts/chart468.xml" Id="rId1" /><Relationship Type="http://schemas.openxmlformats.org/officeDocument/2006/relationships/chart" Target="/xl/charts/chart469.xml" Id="rId2" /></Relationships>
</file>

<file path=xl/drawings/_rels/drawing240.xml.rels><Relationships xmlns="http://schemas.openxmlformats.org/package/2006/relationships"><Relationship Type="http://schemas.openxmlformats.org/officeDocument/2006/relationships/chart" Target="/xl/charts/chart470.xml" Id="rId1" /><Relationship Type="http://schemas.openxmlformats.org/officeDocument/2006/relationships/chart" Target="/xl/charts/chart471.xml" Id="rId2" /></Relationships>
</file>

<file path=xl/drawings/_rels/drawing241.xml.rels><Relationships xmlns="http://schemas.openxmlformats.org/package/2006/relationships"><Relationship Type="http://schemas.openxmlformats.org/officeDocument/2006/relationships/chart" Target="/xl/charts/chart472.xml" Id="rId1" /><Relationship Type="http://schemas.openxmlformats.org/officeDocument/2006/relationships/chart" Target="/xl/charts/chart473.xml" Id="rId2" /></Relationships>
</file>

<file path=xl/drawings/_rels/drawing242.xml.rels><Relationships xmlns="http://schemas.openxmlformats.org/package/2006/relationships"><Relationship Type="http://schemas.openxmlformats.org/officeDocument/2006/relationships/chart" Target="/xl/charts/chart474.xml" Id="rId1" /><Relationship Type="http://schemas.openxmlformats.org/officeDocument/2006/relationships/chart" Target="/xl/charts/chart475.xml" Id="rId2" /></Relationships>
</file>

<file path=xl/drawings/_rels/drawing243.xml.rels><Relationships xmlns="http://schemas.openxmlformats.org/package/2006/relationships"><Relationship Type="http://schemas.openxmlformats.org/officeDocument/2006/relationships/chart" Target="/xl/charts/chart476.xml" Id="rId1" /><Relationship Type="http://schemas.openxmlformats.org/officeDocument/2006/relationships/chart" Target="/xl/charts/chart477.xml" Id="rId2" /></Relationships>
</file>

<file path=xl/drawings/_rels/drawing244.xml.rels><Relationships xmlns="http://schemas.openxmlformats.org/package/2006/relationships"><Relationship Type="http://schemas.openxmlformats.org/officeDocument/2006/relationships/chart" Target="/xl/charts/chart478.xml" Id="rId1" /><Relationship Type="http://schemas.openxmlformats.org/officeDocument/2006/relationships/chart" Target="/xl/charts/chart479.xml" Id="rId2" /></Relationships>
</file>

<file path=xl/drawings/_rels/drawing245.xml.rels><Relationships xmlns="http://schemas.openxmlformats.org/package/2006/relationships"><Relationship Type="http://schemas.openxmlformats.org/officeDocument/2006/relationships/chart" Target="/xl/charts/chart480.xml" Id="rId1" /><Relationship Type="http://schemas.openxmlformats.org/officeDocument/2006/relationships/chart" Target="/xl/charts/chart481.xml" Id="rId2" /></Relationships>
</file>

<file path=xl/drawings/_rels/drawing246.xml.rels><Relationships xmlns="http://schemas.openxmlformats.org/package/2006/relationships"><Relationship Type="http://schemas.openxmlformats.org/officeDocument/2006/relationships/chart" Target="/xl/charts/chart482.xml" Id="rId1" /><Relationship Type="http://schemas.openxmlformats.org/officeDocument/2006/relationships/chart" Target="/xl/charts/chart483.xml" Id="rId2" /></Relationships>
</file>

<file path=xl/drawings/_rels/drawing247.xml.rels><Relationships xmlns="http://schemas.openxmlformats.org/package/2006/relationships"><Relationship Type="http://schemas.openxmlformats.org/officeDocument/2006/relationships/chart" Target="/xl/charts/chart484.xml" Id="rId1" /><Relationship Type="http://schemas.openxmlformats.org/officeDocument/2006/relationships/chart" Target="/xl/charts/chart485.xml" Id="rId2" /></Relationships>
</file>

<file path=xl/drawings/_rels/drawing248.xml.rels><Relationships xmlns="http://schemas.openxmlformats.org/package/2006/relationships"><Relationship Type="http://schemas.openxmlformats.org/officeDocument/2006/relationships/chart" Target="/xl/charts/chart486.xml" Id="rId1" /><Relationship Type="http://schemas.openxmlformats.org/officeDocument/2006/relationships/chart" Target="/xl/charts/chart487.xml" Id="rId2" /></Relationships>
</file>

<file path=xl/drawings/_rels/drawing249.xml.rels><Relationships xmlns="http://schemas.openxmlformats.org/package/2006/relationships"><Relationship Type="http://schemas.openxmlformats.org/officeDocument/2006/relationships/chart" Target="/xl/charts/chart488.xml" Id="rId1" /><Relationship Type="http://schemas.openxmlformats.org/officeDocument/2006/relationships/chart" Target="/xl/charts/chart489.xml" Id="rId2" /></Relationships>
</file>

<file path=xl/drawings/_rels/drawing250.xml.rels><Relationships xmlns="http://schemas.openxmlformats.org/package/2006/relationships"><Relationship Type="http://schemas.openxmlformats.org/officeDocument/2006/relationships/chart" Target="/xl/charts/chart490.xml" Id="rId1" /><Relationship Type="http://schemas.openxmlformats.org/officeDocument/2006/relationships/chart" Target="/xl/charts/chart491.xml" Id="rId2" /></Relationships>
</file>

<file path=xl/drawings/_rels/drawing251.xml.rels><Relationships xmlns="http://schemas.openxmlformats.org/package/2006/relationships"><Relationship Type="http://schemas.openxmlformats.org/officeDocument/2006/relationships/chart" Target="/xl/charts/chart492.xml" Id="rId1" /><Relationship Type="http://schemas.openxmlformats.org/officeDocument/2006/relationships/chart" Target="/xl/charts/chart493.xml" Id="rId2" /></Relationships>
</file>

<file path=xl/drawings/_rels/drawing252.xml.rels><Relationships xmlns="http://schemas.openxmlformats.org/package/2006/relationships"><Relationship Type="http://schemas.openxmlformats.org/officeDocument/2006/relationships/chart" Target="/xl/charts/chart494.xml" Id="rId1" /><Relationship Type="http://schemas.openxmlformats.org/officeDocument/2006/relationships/chart" Target="/xl/charts/chart495.xml" Id="rId2" /></Relationships>
</file>

<file path=xl/drawings/_rels/drawing253.xml.rels><Relationships xmlns="http://schemas.openxmlformats.org/package/2006/relationships"><Relationship Type="http://schemas.openxmlformats.org/officeDocument/2006/relationships/chart" Target="/xl/charts/chart496.xml" Id="rId1" /><Relationship Type="http://schemas.openxmlformats.org/officeDocument/2006/relationships/chart" Target="/xl/charts/chart497.xml" Id="rId2" /></Relationships>
</file>

<file path=xl/drawings/_rels/drawing254.xml.rels><Relationships xmlns="http://schemas.openxmlformats.org/package/2006/relationships"><Relationship Type="http://schemas.openxmlformats.org/officeDocument/2006/relationships/chart" Target="/xl/charts/chart498.xml" Id="rId1" /><Relationship Type="http://schemas.openxmlformats.org/officeDocument/2006/relationships/chart" Target="/xl/charts/chart499.xml" Id="rId2" /></Relationships>
</file>

<file path=xl/drawings/_rels/drawing255.xml.rels><Relationships xmlns="http://schemas.openxmlformats.org/package/2006/relationships"><Relationship Type="http://schemas.openxmlformats.org/officeDocument/2006/relationships/chart" Target="/xl/charts/chart500.xml" Id="rId1" /><Relationship Type="http://schemas.openxmlformats.org/officeDocument/2006/relationships/chart" Target="/xl/charts/chart501.xml" Id="rId2" /></Relationships>
</file>

<file path=xl/drawings/_rels/drawing256.xml.rels><Relationships xmlns="http://schemas.openxmlformats.org/package/2006/relationships"><Relationship Type="http://schemas.openxmlformats.org/officeDocument/2006/relationships/chart" Target="/xl/charts/chart502.xml" Id="rId1" /><Relationship Type="http://schemas.openxmlformats.org/officeDocument/2006/relationships/chart" Target="/xl/charts/chart503.xml" Id="rId2" /></Relationships>
</file>

<file path=xl/drawings/_rels/drawing257.xml.rels><Relationships xmlns="http://schemas.openxmlformats.org/package/2006/relationships"><Relationship Type="http://schemas.openxmlformats.org/officeDocument/2006/relationships/chart" Target="/xl/charts/chart504.xml" Id="rId1" /><Relationship Type="http://schemas.openxmlformats.org/officeDocument/2006/relationships/chart" Target="/xl/charts/chart505.xml" Id="rId2" /></Relationships>
</file>

<file path=xl/drawings/_rels/drawing258.xml.rels><Relationships xmlns="http://schemas.openxmlformats.org/package/2006/relationships"><Relationship Type="http://schemas.openxmlformats.org/officeDocument/2006/relationships/chart" Target="/xl/charts/chart506.xml" Id="rId1" /><Relationship Type="http://schemas.openxmlformats.org/officeDocument/2006/relationships/chart" Target="/xl/charts/chart507.xml" Id="rId2" /></Relationships>
</file>

<file path=xl/drawings/_rels/drawing259.xml.rels><Relationships xmlns="http://schemas.openxmlformats.org/package/2006/relationships"><Relationship Type="http://schemas.openxmlformats.org/officeDocument/2006/relationships/chart" Target="/xl/charts/chart508.xml" Id="rId1" /><Relationship Type="http://schemas.openxmlformats.org/officeDocument/2006/relationships/chart" Target="/xl/charts/chart509.xml" Id="rId2" /></Relationships>
</file>

<file path=xl/drawings/_rels/drawing260.xml.rels><Relationships xmlns="http://schemas.openxmlformats.org/package/2006/relationships"><Relationship Type="http://schemas.openxmlformats.org/officeDocument/2006/relationships/chart" Target="/xl/charts/chart510.xml" Id="rId1" /><Relationship Type="http://schemas.openxmlformats.org/officeDocument/2006/relationships/chart" Target="/xl/charts/chart511.xml" Id="rId2" /></Relationships>
</file>

<file path=xl/drawings/_rels/drawing261.xml.rels><Relationships xmlns="http://schemas.openxmlformats.org/package/2006/relationships"><Relationship Type="http://schemas.openxmlformats.org/officeDocument/2006/relationships/chart" Target="/xl/charts/chart512.xml" Id="rId1" /><Relationship Type="http://schemas.openxmlformats.org/officeDocument/2006/relationships/chart" Target="/xl/charts/chart513.xml" Id="rId2" /></Relationships>
</file>

<file path=xl/drawings/_rels/drawing262.xml.rels><Relationships xmlns="http://schemas.openxmlformats.org/package/2006/relationships"><Relationship Type="http://schemas.openxmlformats.org/officeDocument/2006/relationships/chart" Target="/xl/charts/chart514.xml" Id="rId1" /><Relationship Type="http://schemas.openxmlformats.org/officeDocument/2006/relationships/chart" Target="/xl/charts/chart515.xml" Id="rId2" /></Relationships>
</file>

<file path=xl/drawings/_rels/drawing263.xml.rels><Relationships xmlns="http://schemas.openxmlformats.org/package/2006/relationships"><Relationship Type="http://schemas.openxmlformats.org/officeDocument/2006/relationships/chart" Target="/xl/charts/chart516.xml" Id="rId1" /><Relationship Type="http://schemas.openxmlformats.org/officeDocument/2006/relationships/chart" Target="/xl/charts/chart517.xml" Id="rId2" /></Relationships>
</file>

<file path=xl/drawings/_rels/drawing264.xml.rels><Relationships xmlns="http://schemas.openxmlformats.org/package/2006/relationships"><Relationship Type="http://schemas.openxmlformats.org/officeDocument/2006/relationships/chart" Target="/xl/charts/chart518.xml" Id="rId1" /><Relationship Type="http://schemas.openxmlformats.org/officeDocument/2006/relationships/chart" Target="/xl/charts/chart519.xml" Id="rId2" /></Relationships>
</file>

<file path=xl/drawings/_rels/drawing265.xml.rels><Relationships xmlns="http://schemas.openxmlformats.org/package/2006/relationships"><Relationship Type="http://schemas.openxmlformats.org/officeDocument/2006/relationships/chart" Target="/xl/charts/chart520.xml" Id="rId1" /><Relationship Type="http://schemas.openxmlformats.org/officeDocument/2006/relationships/chart" Target="/xl/charts/chart521.xml" Id="rId2" /></Relationships>
</file>

<file path=xl/drawings/_rels/drawing266.xml.rels><Relationships xmlns="http://schemas.openxmlformats.org/package/2006/relationships"><Relationship Type="http://schemas.openxmlformats.org/officeDocument/2006/relationships/chart" Target="/xl/charts/chart522.xml" Id="rId1" /><Relationship Type="http://schemas.openxmlformats.org/officeDocument/2006/relationships/chart" Target="/xl/charts/chart523.xml" Id="rId2" /></Relationships>
</file>

<file path=xl/drawings/_rels/drawing267.xml.rels><Relationships xmlns="http://schemas.openxmlformats.org/package/2006/relationships"><Relationship Type="http://schemas.openxmlformats.org/officeDocument/2006/relationships/chart" Target="/xl/charts/chart524.xml" Id="rId1" /><Relationship Type="http://schemas.openxmlformats.org/officeDocument/2006/relationships/chart" Target="/xl/charts/chart525.xml" Id="rId2" /></Relationships>
</file>

<file path=xl/drawings/_rels/drawing268.xml.rels><Relationships xmlns="http://schemas.openxmlformats.org/package/2006/relationships"><Relationship Type="http://schemas.openxmlformats.org/officeDocument/2006/relationships/chart" Target="/xl/charts/chart526.xml" Id="rId1" /><Relationship Type="http://schemas.openxmlformats.org/officeDocument/2006/relationships/chart" Target="/xl/charts/chart527.xml" Id="rId2" /></Relationships>
</file>

<file path=xl/drawings/_rels/drawing269.xml.rels><Relationships xmlns="http://schemas.openxmlformats.org/package/2006/relationships"><Relationship Type="http://schemas.openxmlformats.org/officeDocument/2006/relationships/chart" Target="/xl/charts/chart528.xml" Id="rId1" /><Relationship Type="http://schemas.openxmlformats.org/officeDocument/2006/relationships/chart" Target="/xl/charts/chart529.xml" Id="rId2" /></Relationships>
</file>

<file path=xl/drawings/_rels/drawing270.xml.rels><Relationships xmlns="http://schemas.openxmlformats.org/package/2006/relationships"><Relationship Type="http://schemas.openxmlformats.org/officeDocument/2006/relationships/chart" Target="/xl/charts/chart530.xml" Id="rId1" /><Relationship Type="http://schemas.openxmlformats.org/officeDocument/2006/relationships/chart" Target="/xl/charts/chart531.xml" Id="rId2" /></Relationships>
</file>

<file path=xl/drawings/_rels/drawing271.xml.rels><Relationships xmlns="http://schemas.openxmlformats.org/package/2006/relationships"><Relationship Type="http://schemas.openxmlformats.org/officeDocument/2006/relationships/chart" Target="/xl/charts/chart532.xml" Id="rId1" /><Relationship Type="http://schemas.openxmlformats.org/officeDocument/2006/relationships/chart" Target="/xl/charts/chart533.xml" Id="rId2" /></Relationships>
</file>

<file path=xl/drawings/_rels/drawing272.xml.rels><Relationships xmlns="http://schemas.openxmlformats.org/package/2006/relationships"><Relationship Type="http://schemas.openxmlformats.org/officeDocument/2006/relationships/chart" Target="/xl/charts/chart534.xml" Id="rId1" /><Relationship Type="http://schemas.openxmlformats.org/officeDocument/2006/relationships/chart" Target="/xl/charts/chart535.xml" Id="rId2" /></Relationships>
</file>

<file path=xl/drawings/_rels/drawing273.xml.rels><Relationships xmlns="http://schemas.openxmlformats.org/package/2006/relationships"><Relationship Type="http://schemas.openxmlformats.org/officeDocument/2006/relationships/chart" Target="/xl/charts/chart536.xml" Id="rId1" /><Relationship Type="http://schemas.openxmlformats.org/officeDocument/2006/relationships/chart" Target="/xl/charts/chart537.xml" Id="rId2" /></Relationships>
</file>

<file path=xl/drawings/_rels/drawing274.xml.rels><Relationships xmlns="http://schemas.openxmlformats.org/package/2006/relationships"><Relationship Type="http://schemas.openxmlformats.org/officeDocument/2006/relationships/chart" Target="/xl/charts/chart538.xml" Id="rId1" /><Relationship Type="http://schemas.openxmlformats.org/officeDocument/2006/relationships/chart" Target="/xl/charts/chart539.xml" Id="rId2" /></Relationships>
</file>

<file path=xl/drawings/_rels/drawing275.xml.rels><Relationships xmlns="http://schemas.openxmlformats.org/package/2006/relationships"><Relationship Type="http://schemas.openxmlformats.org/officeDocument/2006/relationships/chart" Target="/xl/charts/chart540.xml" Id="rId1" /><Relationship Type="http://schemas.openxmlformats.org/officeDocument/2006/relationships/chart" Target="/xl/charts/chart541.xml" Id="rId2" /></Relationships>
</file>

<file path=xl/drawings/_rels/drawing276.xml.rels><Relationships xmlns="http://schemas.openxmlformats.org/package/2006/relationships"><Relationship Type="http://schemas.openxmlformats.org/officeDocument/2006/relationships/chart" Target="/xl/charts/chart542.xml" Id="rId1" /><Relationship Type="http://schemas.openxmlformats.org/officeDocument/2006/relationships/chart" Target="/xl/charts/chart543.xml" Id="rId2" /></Relationships>
</file>

<file path=xl/drawings/_rels/drawing277.xml.rels><Relationships xmlns="http://schemas.openxmlformats.org/package/2006/relationships"><Relationship Type="http://schemas.openxmlformats.org/officeDocument/2006/relationships/chart" Target="/xl/charts/chart544.xml" Id="rId1" /><Relationship Type="http://schemas.openxmlformats.org/officeDocument/2006/relationships/chart" Target="/xl/charts/chart545.xml" Id="rId2" /></Relationships>
</file>

<file path=xl/drawings/_rels/drawing278.xml.rels><Relationships xmlns="http://schemas.openxmlformats.org/package/2006/relationships"><Relationship Type="http://schemas.openxmlformats.org/officeDocument/2006/relationships/chart" Target="/xl/charts/chart546.xml" Id="rId1" /><Relationship Type="http://schemas.openxmlformats.org/officeDocument/2006/relationships/chart" Target="/xl/charts/chart547.xml" Id="rId2" /></Relationships>
</file>

<file path=xl/drawings/_rels/drawing279.xml.rels><Relationships xmlns="http://schemas.openxmlformats.org/package/2006/relationships"><Relationship Type="http://schemas.openxmlformats.org/officeDocument/2006/relationships/chart" Target="/xl/charts/chart548.xml" Id="rId1" /><Relationship Type="http://schemas.openxmlformats.org/officeDocument/2006/relationships/chart" Target="/xl/charts/chart549.xml" Id="rId2" /></Relationships>
</file>

<file path=xl/drawings/_rels/drawing280.xml.rels><Relationships xmlns="http://schemas.openxmlformats.org/package/2006/relationships"><Relationship Type="http://schemas.openxmlformats.org/officeDocument/2006/relationships/chart" Target="/xl/charts/chart550.xml" Id="rId1" /><Relationship Type="http://schemas.openxmlformats.org/officeDocument/2006/relationships/chart" Target="/xl/charts/chart551.xml" Id="rId2" /></Relationships>
</file>

<file path=xl/drawings/_rels/drawing281.xml.rels><Relationships xmlns="http://schemas.openxmlformats.org/package/2006/relationships"><Relationship Type="http://schemas.openxmlformats.org/officeDocument/2006/relationships/chart" Target="/xl/charts/chart552.xml" Id="rId1" /><Relationship Type="http://schemas.openxmlformats.org/officeDocument/2006/relationships/chart" Target="/xl/charts/chart553.xml" Id="rId2" /></Relationships>
</file>

<file path=xl/drawings/_rels/drawing282.xml.rels><Relationships xmlns="http://schemas.openxmlformats.org/package/2006/relationships"><Relationship Type="http://schemas.openxmlformats.org/officeDocument/2006/relationships/chart" Target="/xl/charts/chart554.xml" Id="rId1" /><Relationship Type="http://schemas.openxmlformats.org/officeDocument/2006/relationships/chart" Target="/xl/charts/chart555.xml" Id="rId2" /></Relationships>
</file>

<file path=xl/drawings/_rels/drawing283.xml.rels><Relationships xmlns="http://schemas.openxmlformats.org/package/2006/relationships"><Relationship Type="http://schemas.openxmlformats.org/officeDocument/2006/relationships/chart" Target="/xl/charts/chart556.xml" Id="rId1" /><Relationship Type="http://schemas.openxmlformats.org/officeDocument/2006/relationships/chart" Target="/xl/charts/chart557.xml" Id="rId2" /></Relationships>
</file>

<file path=xl/drawings/_rels/drawing284.xml.rels><Relationships xmlns="http://schemas.openxmlformats.org/package/2006/relationships"><Relationship Type="http://schemas.openxmlformats.org/officeDocument/2006/relationships/chart" Target="/xl/charts/chart558.xml" Id="rId1" /><Relationship Type="http://schemas.openxmlformats.org/officeDocument/2006/relationships/chart" Target="/xl/charts/chart559.xml" Id="rId2" /></Relationships>
</file>

<file path=xl/drawings/_rels/drawing285.xml.rels><Relationships xmlns="http://schemas.openxmlformats.org/package/2006/relationships"><Relationship Type="http://schemas.openxmlformats.org/officeDocument/2006/relationships/chart" Target="/xl/charts/chart560.xml" Id="rId1" /><Relationship Type="http://schemas.openxmlformats.org/officeDocument/2006/relationships/chart" Target="/xl/charts/chart561.xml" Id="rId2" /></Relationships>
</file>

<file path=xl/drawings/_rels/drawing286.xml.rels><Relationships xmlns="http://schemas.openxmlformats.org/package/2006/relationships"><Relationship Type="http://schemas.openxmlformats.org/officeDocument/2006/relationships/chart" Target="/xl/charts/chart562.xml" Id="rId1" /><Relationship Type="http://schemas.openxmlformats.org/officeDocument/2006/relationships/chart" Target="/xl/charts/chart563.xml" Id="rId2" /></Relationships>
</file>

<file path=xl/drawings/_rels/drawing287.xml.rels><Relationships xmlns="http://schemas.openxmlformats.org/package/2006/relationships"><Relationship Type="http://schemas.openxmlformats.org/officeDocument/2006/relationships/chart" Target="/xl/charts/chart564.xml" Id="rId1" /><Relationship Type="http://schemas.openxmlformats.org/officeDocument/2006/relationships/chart" Target="/xl/charts/chart565.xml" Id="rId2" /></Relationships>
</file>

<file path=xl/drawings/_rels/drawing288.xml.rels><Relationships xmlns="http://schemas.openxmlformats.org/package/2006/relationships"><Relationship Type="http://schemas.openxmlformats.org/officeDocument/2006/relationships/chart" Target="/xl/charts/chart566.xml" Id="rId1" /><Relationship Type="http://schemas.openxmlformats.org/officeDocument/2006/relationships/chart" Target="/xl/charts/chart567.xml" Id="rId2" /></Relationships>
</file>

<file path=xl/drawings/_rels/drawing289.xml.rels><Relationships xmlns="http://schemas.openxmlformats.org/package/2006/relationships"><Relationship Type="http://schemas.openxmlformats.org/officeDocument/2006/relationships/chart" Target="/xl/charts/chart568.xml" Id="rId1" /><Relationship Type="http://schemas.openxmlformats.org/officeDocument/2006/relationships/chart" Target="/xl/charts/chart569.xml" Id="rId2" /></Relationships>
</file>

<file path=xl/drawings/_rels/drawing290.xml.rels><Relationships xmlns="http://schemas.openxmlformats.org/package/2006/relationships"><Relationship Type="http://schemas.openxmlformats.org/officeDocument/2006/relationships/chart" Target="/xl/charts/chart570.xml" Id="rId1" /><Relationship Type="http://schemas.openxmlformats.org/officeDocument/2006/relationships/chart" Target="/xl/charts/chart571.xml" Id="rId2" /></Relationships>
</file>

<file path=xl/drawings/_rels/drawing291.xml.rels><Relationships xmlns="http://schemas.openxmlformats.org/package/2006/relationships"><Relationship Type="http://schemas.openxmlformats.org/officeDocument/2006/relationships/chart" Target="/xl/charts/chart572.xml" Id="rId1" /><Relationship Type="http://schemas.openxmlformats.org/officeDocument/2006/relationships/chart" Target="/xl/charts/chart573.xml" Id="rId2" /></Relationships>
</file>

<file path=xl/drawings/_rels/drawing292.xml.rels><Relationships xmlns="http://schemas.openxmlformats.org/package/2006/relationships"><Relationship Type="http://schemas.openxmlformats.org/officeDocument/2006/relationships/chart" Target="/xl/charts/chart574.xml" Id="rId1" /><Relationship Type="http://schemas.openxmlformats.org/officeDocument/2006/relationships/chart" Target="/xl/charts/chart575.xml" Id="rId2" /></Relationships>
</file>

<file path=xl/drawings/_rels/drawing293.xml.rels><Relationships xmlns="http://schemas.openxmlformats.org/package/2006/relationships"><Relationship Type="http://schemas.openxmlformats.org/officeDocument/2006/relationships/chart" Target="/xl/charts/chart576.xml" Id="rId1" /><Relationship Type="http://schemas.openxmlformats.org/officeDocument/2006/relationships/chart" Target="/xl/charts/chart577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12370</colOff>
      <row>17</row>
      <rowOff>37111</rowOff>
    </from>
    <to>
      <col>13</col>
      <colOff>0</colOff>
      <row>38</row>
      <rowOff>148442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0</colOff>
      <row>20</row>
      <rowOff>38349</rowOff>
    </from>
    <to>
      <col>13</col>
      <colOff>979714</colOff>
      <row>42</row>
      <rowOff>13607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drawings/drawing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50</row>
      <rowOff>50800</rowOff>
    </from>
    <to>
      <col>3</col>
      <colOff>711200</colOff>
      <row>51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22</row>
      <rowOff>25400</rowOff>
    </from>
    <to>
      <col>12</col>
      <colOff>1003300</colOff>
      <row>40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20</row>
      <rowOff>139700</rowOff>
    </from>
    <to>
      <col>13</col>
      <colOff>63500</colOff>
      <row>40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47</row>
      <rowOff>50800</rowOff>
    </from>
    <to>
      <col>3</col>
      <colOff>711200</colOff>
      <row>48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19</row>
      <rowOff>25400</rowOff>
    </from>
    <to>
      <col>12</col>
      <colOff>1003300</colOff>
      <row>37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17</row>
      <rowOff>139700</rowOff>
    </from>
    <to>
      <col>13</col>
      <colOff>63500</colOff>
      <row>37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3</col>
      <colOff>101600</colOff>
      <row>48</row>
      <rowOff>50800</rowOff>
    </from>
    <to>
      <col>3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12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13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101600</colOff>
      <row>48</row>
      <rowOff>50800</rowOff>
    </from>
    <to>
      <col>1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10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11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</col>
      <colOff>101600</colOff>
      <row>48</row>
      <rowOff>50800</rowOff>
    </from>
    <to>
      <col>2</col>
      <colOff>711200</colOff>
      <row>49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11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12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20</row>
      <rowOff>25400</rowOff>
    </from>
    <to>
      <col>13</col>
      <colOff>1003300</colOff>
      <row>38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18</row>
      <rowOff>139700</rowOff>
    </from>
    <to>
      <col>14</col>
      <colOff>63500</colOff>
      <row>38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13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14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14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15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16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17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17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18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19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0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1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21</row>
      <rowOff>25400</rowOff>
    </from>
    <to>
      <col>19</col>
      <colOff>1003300</colOff>
      <row>39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19</row>
      <rowOff>139700</rowOff>
    </from>
    <to>
      <col>20</col>
      <colOff>63500</colOff>
      <row>39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2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3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4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5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6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19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20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7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6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7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8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89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0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139700</rowOff>
    </from>
    <to>
      <col>22</col>
      <colOff>63500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9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50808</colOff>
      <row>17</row>
      <rowOff>25400</rowOff>
    </from>
    <to>
      <col>21</col>
      <colOff>1003300</colOff>
      <row>35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63500</colOff>
      <row>15</row>
      <rowOff>127000</rowOff>
    </from>
    <to>
      <col>22</col>
      <colOff>203200</colOff>
      <row>35</row>
      <rowOff>114300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 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 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 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 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 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 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 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 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 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 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 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 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 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 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 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 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 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 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 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 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 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 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 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 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 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 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 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 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 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 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 /></Relationships>
</file>

<file path=xl/worksheets/_rels/sheet83.xml.rels><Relationships xmlns="http://schemas.openxmlformats.org/package/2006/relationships"><Relationship Type="http://schemas.openxmlformats.org/officeDocument/2006/relationships/drawing" Target="/xl/drawings/drawing83.xml" Id="rId1" 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84.xml" Id="rId1" /></Relationships>
</file>

<file path=xl/worksheets/_rels/sheet85.xml.rels><Relationships xmlns="http://schemas.openxmlformats.org/package/2006/relationships"><Relationship Type="http://schemas.openxmlformats.org/officeDocument/2006/relationships/drawing" Target="/xl/drawings/drawing85.xml" Id="rId1" 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86.xml" Id="rId1" /></Relationships>
</file>

<file path=xl/worksheets/_rels/sheet87.xml.rels><Relationships xmlns="http://schemas.openxmlformats.org/package/2006/relationships"><Relationship Type="http://schemas.openxmlformats.org/officeDocument/2006/relationships/drawing" Target="/xl/drawings/drawing87.xml" Id="rId1" 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88.xml" Id="rId1" /></Relationships>
</file>

<file path=xl/worksheets/_rels/sheet89.xml.rels><Relationships xmlns="http://schemas.openxmlformats.org/package/2006/relationships"><Relationship Type="http://schemas.openxmlformats.org/officeDocument/2006/relationships/drawing" Target="/xl/drawings/drawing89.xml" Id="rId1" 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90.xml" Id="rId1" /></Relationships>
</file>

<file path=xl/worksheets/_rels/sheet91.xml.rels><Relationships xmlns="http://schemas.openxmlformats.org/package/2006/relationships"><Relationship Type="http://schemas.openxmlformats.org/officeDocument/2006/relationships/drawing" Target="/xl/drawings/drawing91.xml" Id="rId1" 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92.xml" Id="rId1" /></Relationships>
</file>

<file path=xl/worksheets/_rels/sheet93.xml.rels><Relationships xmlns="http://schemas.openxmlformats.org/package/2006/relationships"><Relationship Type="http://schemas.openxmlformats.org/officeDocument/2006/relationships/drawing" Target="/xl/drawings/drawing93.xml" Id="rId1" 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94.xml" Id="rId1" /></Relationships>
</file>

<file path=xl/worksheets/_rels/sheet95.xml.rels><Relationships xmlns="http://schemas.openxmlformats.org/package/2006/relationships"><Relationship Type="http://schemas.openxmlformats.org/officeDocument/2006/relationships/drawing" Target="/xl/drawings/drawing95.xml" Id="rId1" 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96.xml" Id="rId1" /></Relationships>
</file>

<file path=xl/worksheets/_rels/sheet97.xml.rels><Relationships xmlns="http://schemas.openxmlformats.org/package/2006/relationships"><Relationship Type="http://schemas.openxmlformats.org/officeDocument/2006/relationships/drawing" Target="/xl/drawings/drawing97.xml" Id="rId1" 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98.xml" Id="rId1" /></Relationships>
</file>

<file path=xl/worksheets/_rels/sheet99.xml.rels><Relationships xmlns="http://schemas.openxmlformats.org/package/2006/relationships"><Relationship Type="http://schemas.openxmlformats.org/officeDocument/2006/relationships/drawing" Target="/xl/drawings/drawing99.xml" Id="rId1" 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100.xml" Id="rId1" /></Relationships>
</file>

<file path=xl/worksheets/_rels/sheet101.xml.rels><Relationships xmlns="http://schemas.openxmlformats.org/package/2006/relationships"><Relationship Type="http://schemas.openxmlformats.org/officeDocument/2006/relationships/drawing" Target="/xl/drawings/drawing101.xml" Id="rId1" /></Relationships>
</file>

<file path=xl/worksheets/_rels/sheet102.xml.rels><Relationships xmlns="http://schemas.openxmlformats.org/package/2006/relationships"><Relationship Type="http://schemas.openxmlformats.org/officeDocument/2006/relationships/drawing" Target="/xl/drawings/drawing102.xml" Id="rId1" /></Relationships>
</file>

<file path=xl/worksheets/_rels/sheet103.xml.rels><Relationships xmlns="http://schemas.openxmlformats.org/package/2006/relationships"><Relationship Type="http://schemas.openxmlformats.org/officeDocument/2006/relationships/drawing" Target="/xl/drawings/drawing103.xml" Id="rId1" 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104.xml" Id="rId1" /></Relationships>
</file>

<file path=xl/worksheets/_rels/sheet105.xml.rels><Relationships xmlns="http://schemas.openxmlformats.org/package/2006/relationships"><Relationship Type="http://schemas.openxmlformats.org/officeDocument/2006/relationships/drawing" Target="/xl/drawings/drawing105.xml" Id="rId1" /></Relationships>
</file>

<file path=xl/worksheets/_rels/sheet106.xml.rels><Relationships xmlns="http://schemas.openxmlformats.org/package/2006/relationships"><Relationship Type="http://schemas.openxmlformats.org/officeDocument/2006/relationships/drawing" Target="/xl/drawings/drawing106.xml" Id="rId1" 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107.xml" Id="rId1" /></Relationships>
</file>

<file path=xl/worksheets/_rels/sheet108.xml.rels><Relationships xmlns="http://schemas.openxmlformats.org/package/2006/relationships"><Relationship Type="http://schemas.openxmlformats.org/officeDocument/2006/relationships/drawing" Target="/xl/drawings/drawing108.xml" Id="rId1" 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109.xml" Id="rId1" /></Relationships>
</file>

<file path=xl/worksheets/_rels/sheet110.xml.rels><Relationships xmlns="http://schemas.openxmlformats.org/package/2006/relationships"><Relationship Type="http://schemas.openxmlformats.org/officeDocument/2006/relationships/drawing" Target="/xl/drawings/drawing110.xml" Id="rId1" /></Relationships>
</file>

<file path=xl/worksheets/_rels/sheet111.xml.rels><Relationships xmlns="http://schemas.openxmlformats.org/package/2006/relationships"><Relationship Type="http://schemas.openxmlformats.org/officeDocument/2006/relationships/drawing" Target="/xl/drawings/drawing111.xml" Id="rId1" /></Relationships>
</file>

<file path=xl/worksheets/_rels/sheet112.xml.rels><Relationships xmlns="http://schemas.openxmlformats.org/package/2006/relationships"><Relationship Type="http://schemas.openxmlformats.org/officeDocument/2006/relationships/drawing" Target="/xl/drawings/drawing112.xml" Id="rId1" /></Relationships>
</file>

<file path=xl/worksheets/_rels/sheet113.xml.rels><Relationships xmlns="http://schemas.openxmlformats.org/package/2006/relationships"><Relationship Type="http://schemas.openxmlformats.org/officeDocument/2006/relationships/drawing" Target="/xl/drawings/drawing113.xml" Id="rId1" /></Relationships>
</file>

<file path=xl/worksheets/_rels/sheet114.xml.rels><Relationships xmlns="http://schemas.openxmlformats.org/package/2006/relationships"><Relationship Type="http://schemas.openxmlformats.org/officeDocument/2006/relationships/drawing" Target="/xl/drawings/drawing114.xml" Id="rId1" /></Relationships>
</file>

<file path=xl/worksheets/_rels/sheet115.xml.rels><Relationships xmlns="http://schemas.openxmlformats.org/package/2006/relationships"><Relationship Type="http://schemas.openxmlformats.org/officeDocument/2006/relationships/drawing" Target="/xl/drawings/drawing115.xml" Id="rId1" /></Relationships>
</file>

<file path=xl/worksheets/_rels/sheet116.xml.rels><Relationships xmlns="http://schemas.openxmlformats.org/package/2006/relationships"><Relationship Type="http://schemas.openxmlformats.org/officeDocument/2006/relationships/drawing" Target="/xl/drawings/drawing116.xml" Id="rId1" /></Relationships>
</file>

<file path=xl/worksheets/_rels/sheet117.xml.rels><Relationships xmlns="http://schemas.openxmlformats.org/package/2006/relationships"><Relationship Type="http://schemas.openxmlformats.org/officeDocument/2006/relationships/drawing" Target="/xl/drawings/drawing117.xml" Id="rId1" /></Relationships>
</file>

<file path=xl/worksheets/_rels/sheet118.xml.rels><Relationships xmlns="http://schemas.openxmlformats.org/package/2006/relationships"><Relationship Type="http://schemas.openxmlformats.org/officeDocument/2006/relationships/drawing" Target="/xl/drawings/drawing118.xml" Id="rId1" /></Relationships>
</file>

<file path=xl/worksheets/_rels/sheet119.xml.rels><Relationships xmlns="http://schemas.openxmlformats.org/package/2006/relationships"><Relationship Type="http://schemas.openxmlformats.org/officeDocument/2006/relationships/drawing" Target="/xl/drawings/drawing119.xml" Id="rId1" /></Relationships>
</file>

<file path=xl/worksheets/_rels/sheet120.xml.rels><Relationships xmlns="http://schemas.openxmlformats.org/package/2006/relationships"><Relationship Type="http://schemas.openxmlformats.org/officeDocument/2006/relationships/drawing" Target="/xl/drawings/drawing120.xml" Id="rId1" /></Relationships>
</file>

<file path=xl/worksheets/_rels/sheet121.xml.rels><Relationships xmlns="http://schemas.openxmlformats.org/package/2006/relationships"><Relationship Type="http://schemas.openxmlformats.org/officeDocument/2006/relationships/drawing" Target="/xl/drawings/drawing121.xml" Id="rId1" /></Relationships>
</file>

<file path=xl/worksheets/_rels/sheet122.xml.rels><Relationships xmlns="http://schemas.openxmlformats.org/package/2006/relationships"><Relationship Type="http://schemas.openxmlformats.org/officeDocument/2006/relationships/drawing" Target="/xl/drawings/drawing122.xml" Id="rId1" /></Relationships>
</file>

<file path=xl/worksheets/_rels/sheet123.xml.rels><Relationships xmlns="http://schemas.openxmlformats.org/package/2006/relationships"><Relationship Type="http://schemas.openxmlformats.org/officeDocument/2006/relationships/drawing" Target="/xl/drawings/drawing123.xml" Id="rId1" /></Relationships>
</file>

<file path=xl/worksheets/_rels/sheet124.xml.rels><Relationships xmlns="http://schemas.openxmlformats.org/package/2006/relationships"><Relationship Type="http://schemas.openxmlformats.org/officeDocument/2006/relationships/drawing" Target="/xl/drawings/drawing124.xml" Id="rId1" /></Relationships>
</file>

<file path=xl/worksheets/_rels/sheet125.xml.rels><Relationships xmlns="http://schemas.openxmlformats.org/package/2006/relationships"><Relationship Type="http://schemas.openxmlformats.org/officeDocument/2006/relationships/drawing" Target="/xl/drawings/drawing125.xml" Id="rId1" /></Relationships>
</file>

<file path=xl/worksheets/_rels/sheet126.xml.rels><Relationships xmlns="http://schemas.openxmlformats.org/package/2006/relationships"><Relationship Type="http://schemas.openxmlformats.org/officeDocument/2006/relationships/drawing" Target="/xl/drawings/drawing126.xml" Id="rId1" /></Relationships>
</file>

<file path=xl/worksheets/_rels/sheet127.xml.rels><Relationships xmlns="http://schemas.openxmlformats.org/package/2006/relationships"><Relationship Type="http://schemas.openxmlformats.org/officeDocument/2006/relationships/drawing" Target="/xl/drawings/drawing127.xml" Id="rId1" /></Relationships>
</file>

<file path=xl/worksheets/_rels/sheet128.xml.rels><Relationships xmlns="http://schemas.openxmlformats.org/package/2006/relationships"><Relationship Type="http://schemas.openxmlformats.org/officeDocument/2006/relationships/drawing" Target="/xl/drawings/drawing128.xml" Id="rId1" /></Relationships>
</file>

<file path=xl/worksheets/_rels/sheet129.xml.rels><Relationships xmlns="http://schemas.openxmlformats.org/package/2006/relationships"><Relationship Type="http://schemas.openxmlformats.org/officeDocument/2006/relationships/drawing" Target="/xl/drawings/drawing129.xml" Id="rId1" /></Relationships>
</file>

<file path=xl/worksheets/_rels/sheet130.xml.rels><Relationships xmlns="http://schemas.openxmlformats.org/package/2006/relationships"><Relationship Type="http://schemas.openxmlformats.org/officeDocument/2006/relationships/drawing" Target="/xl/drawings/drawing130.xml" Id="rId1" /></Relationships>
</file>

<file path=xl/worksheets/_rels/sheet131.xml.rels><Relationships xmlns="http://schemas.openxmlformats.org/package/2006/relationships"><Relationship Type="http://schemas.openxmlformats.org/officeDocument/2006/relationships/drawing" Target="/xl/drawings/drawing131.xml" Id="rId1" /></Relationships>
</file>

<file path=xl/worksheets/_rels/sheet132.xml.rels><Relationships xmlns="http://schemas.openxmlformats.org/package/2006/relationships"><Relationship Type="http://schemas.openxmlformats.org/officeDocument/2006/relationships/drawing" Target="/xl/drawings/drawing132.xml" Id="rId1" /></Relationships>
</file>

<file path=xl/worksheets/_rels/sheet133.xml.rels><Relationships xmlns="http://schemas.openxmlformats.org/package/2006/relationships"><Relationship Type="http://schemas.openxmlformats.org/officeDocument/2006/relationships/drawing" Target="/xl/drawings/drawing133.xml" Id="rId1" /></Relationships>
</file>

<file path=xl/worksheets/_rels/sheet134.xml.rels><Relationships xmlns="http://schemas.openxmlformats.org/package/2006/relationships"><Relationship Type="http://schemas.openxmlformats.org/officeDocument/2006/relationships/drawing" Target="/xl/drawings/drawing134.xml" Id="rId1" /></Relationships>
</file>

<file path=xl/worksheets/_rels/sheet135.xml.rels><Relationships xmlns="http://schemas.openxmlformats.org/package/2006/relationships"><Relationship Type="http://schemas.openxmlformats.org/officeDocument/2006/relationships/drawing" Target="/xl/drawings/drawing135.xml" Id="rId1" /></Relationships>
</file>

<file path=xl/worksheets/_rels/sheet136.xml.rels><Relationships xmlns="http://schemas.openxmlformats.org/package/2006/relationships"><Relationship Type="http://schemas.openxmlformats.org/officeDocument/2006/relationships/drawing" Target="/xl/drawings/drawing136.xml" Id="rId1" /></Relationships>
</file>

<file path=xl/worksheets/_rels/sheet137.xml.rels><Relationships xmlns="http://schemas.openxmlformats.org/package/2006/relationships"><Relationship Type="http://schemas.openxmlformats.org/officeDocument/2006/relationships/drawing" Target="/xl/drawings/drawing137.xml" Id="rId1" /></Relationships>
</file>

<file path=xl/worksheets/_rels/sheet138.xml.rels><Relationships xmlns="http://schemas.openxmlformats.org/package/2006/relationships"><Relationship Type="http://schemas.openxmlformats.org/officeDocument/2006/relationships/drawing" Target="/xl/drawings/drawing138.xml" Id="rId1" /></Relationships>
</file>

<file path=xl/worksheets/_rels/sheet139.xml.rels><Relationships xmlns="http://schemas.openxmlformats.org/package/2006/relationships"><Relationship Type="http://schemas.openxmlformats.org/officeDocument/2006/relationships/drawing" Target="/xl/drawings/drawing139.xml" Id="rId1" /></Relationships>
</file>

<file path=xl/worksheets/_rels/sheet140.xml.rels><Relationships xmlns="http://schemas.openxmlformats.org/package/2006/relationships"><Relationship Type="http://schemas.openxmlformats.org/officeDocument/2006/relationships/drawing" Target="/xl/drawings/drawing140.xml" Id="rId1" /></Relationships>
</file>

<file path=xl/worksheets/_rels/sheet141.xml.rels><Relationships xmlns="http://schemas.openxmlformats.org/package/2006/relationships"><Relationship Type="http://schemas.openxmlformats.org/officeDocument/2006/relationships/drawing" Target="/xl/drawings/drawing141.xml" Id="rId1" /></Relationships>
</file>

<file path=xl/worksheets/_rels/sheet142.xml.rels><Relationships xmlns="http://schemas.openxmlformats.org/package/2006/relationships"><Relationship Type="http://schemas.openxmlformats.org/officeDocument/2006/relationships/drawing" Target="/xl/drawings/drawing142.xml" Id="rId1" /></Relationships>
</file>

<file path=xl/worksheets/_rels/sheet143.xml.rels><Relationships xmlns="http://schemas.openxmlformats.org/package/2006/relationships"><Relationship Type="http://schemas.openxmlformats.org/officeDocument/2006/relationships/drawing" Target="/xl/drawings/drawing143.xml" Id="rId1" /></Relationships>
</file>

<file path=xl/worksheets/_rels/sheet144.xml.rels><Relationships xmlns="http://schemas.openxmlformats.org/package/2006/relationships"><Relationship Type="http://schemas.openxmlformats.org/officeDocument/2006/relationships/drawing" Target="/xl/drawings/drawing144.xml" Id="rId1" /></Relationships>
</file>

<file path=xl/worksheets/_rels/sheet145.xml.rels><Relationships xmlns="http://schemas.openxmlformats.org/package/2006/relationships"><Relationship Type="http://schemas.openxmlformats.org/officeDocument/2006/relationships/drawing" Target="/xl/drawings/drawing145.xml" Id="rId1" /></Relationships>
</file>

<file path=xl/worksheets/_rels/sheet146.xml.rels><Relationships xmlns="http://schemas.openxmlformats.org/package/2006/relationships"><Relationship Type="http://schemas.openxmlformats.org/officeDocument/2006/relationships/drawing" Target="/xl/drawings/drawing146.xml" Id="rId1" /></Relationships>
</file>

<file path=xl/worksheets/_rels/sheet147.xml.rels><Relationships xmlns="http://schemas.openxmlformats.org/package/2006/relationships"><Relationship Type="http://schemas.openxmlformats.org/officeDocument/2006/relationships/drawing" Target="/xl/drawings/drawing147.xml" Id="rId1" /></Relationships>
</file>

<file path=xl/worksheets/_rels/sheet148.xml.rels><Relationships xmlns="http://schemas.openxmlformats.org/package/2006/relationships"><Relationship Type="http://schemas.openxmlformats.org/officeDocument/2006/relationships/drawing" Target="/xl/drawings/drawing148.xml" Id="rId1" /></Relationships>
</file>

<file path=xl/worksheets/_rels/sheet149.xml.rels><Relationships xmlns="http://schemas.openxmlformats.org/package/2006/relationships"><Relationship Type="http://schemas.openxmlformats.org/officeDocument/2006/relationships/drawing" Target="/xl/drawings/drawing149.xml" Id="rId1" /></Relationships>
</file>

<file path=xl/worksheets/_rels/sheet150.xml.rels><Relationships xmlns="http://schemas.openxmlformats.org/package/2006/relationships"><Relationship Type="http://schemas.openxmlformats.org/officeDocument/2006/relationships/drawing" Target="/xl/drawings/drawing150.xml" Id="rId1" /></Relationships>
</file>

<file path=xl/worksheets/_rels/sheet151.xml.rels><Relationships xmlns="http://schemas.openxmlformats.org/package/2006/relationships"><Relationship Type="http://schemas.openxmlformats.org/officeDocument/2006/relationships/drawing" Target="/xl/drawings/drawing151.xml" Id="rId1" /></Relationships>
</file>

<file path=xl/worksheets/_rels/sheet152.xml.rels><Relationships xmlns="http://schemas.openxmlformats.org/package/2006/relationships"><Relationship Type="http://schemas.openxmlformats.org/officeDocument/2006/relationships/drawing" Target="/xl/drawings/drawing152.xml" Id="rId1" /></Relationships>
</file>

<file path=xl/worksheets/_rels/sheet153.xml.rels><Relationships xmlns="http://schemas.openxmlformats.org/package/2006/relationships"><Relationship Type="http://schemas.openxmlformats.org/officeDocument/2006/relationships/drawing" Target="/xl/drawings/drawing153.xml" Id="rId1" /></Relationships>
</file>

<file path=xl/worksheets/_rels/sheet154.xml.rels><Relationships xmlns="http://schemas.openxmlformats.org/package/2006/relationships"><Relationship Type="http://schemas.openxmlformats.org/officeDocument/2006/relationships/drawing" Target="/xl/drawings/drawing154.xml" Id="rId1" /></Relationships>
</file>

<file path=xl/worksheets/_rels/sheet155.xml.rels><Relationships xmlns="http://schemas.openxmlformats.org/package/2006/relationships"><Relationship Type="http://schemas.openxmlformats.org/officeDocument/2006/relationships/drawing" Target="/xl/drawings/drawing155.xml" Id="rId1" /></Relationships>
</file>

<file path=xl/worksheets/_rels/sheet156.xml.rels><Relationships xmlns="http://schemas.openxmlformats.org/package/2006/relationships"><Relationship Type="http://schemas.openxmlformats.org/officeDocument/2006/relationships/drawing" Target="/xl/drawings/drawing156.xml" Id="rId1" /></Relationships>
</file>

<file path=xl/worksheets/_rels/sheet157.xml.rels><Relationships xmlns="http://schemas.openxmlformats.org/package/2006/relationships"><Relationship Type="http://schemas.openxmlformats.org/officeDocument/2006/relationships/drawing" Target="/xl/drawings/drawing157.xml" Id="rId1" /></Relationships>
</file>

<file path=xl/worksheets/_rels/sheet158.xml.rels><Relationships xmlns="http://schemas.openxmlformats.org/package/2006/relationships"><Relationship Type="http://schemas.openxmlformats.org/officeDocument/2006/relationships/drawing" Target="/xl/drawings/drawing158.xml" Id="rId1" /></Relationships>
</file>

<file path=xl/worksheets/_rels/sheet159.xml.rels><Relationships xmlns="http://schemas.openxmlformats.org/package/2006/relationships"><Relationship Type="http://schemas.openxmlformats.org/officeDocument/2006/relationships/drawing" Target="/xl/drawings/drawing159.xml" Id="rId1" /></Relationships>
</file>

<file path=xl/worksheets/_rels/sheet160.xml.rels><Relationships xmlns="http://schemas.openxmlformats.org/package/2006/relationships"><Relationship Type="http://schemas.openxmlformats.org/officeDocument/2006/relationships/drawing" Target="/xl/drawings/drawing160.xml" Id="rId1" /></Relationships>
</file>

<file path=xl/worksheets/_rels/sheet161.xml.rels><Relationships xmlns="http://schemas.openxmlformats.org/package/2006/relationships"><Relationship Type="http://schemas.openxmlformats.org/officeDocument/2006/relationships/drawing" Target="/xl/drawings/drawing161.xml" Id="rId1" /></Relationships>
</file>

<file path=xl/worksheets/_rels/sheet162.xml.rels><Relationships xmlns="http://schemas.openxmlformats.org/package/2006/relationships"><Relationship Type="http://schemas.openxmlformats.org/officeDocument/2006/relationships/drawing" Target="/xl/drawings/drawing162.xml" Id="rId1" /></Relationships>
</file>

<file path=xl/worksheets/_rels/sheet163.xml.rels><Relationships xmlns="http://schemas.openxmlformats.org/package/2006/relationships"><Relationship Type="http://schemas.openxmlformats.org/officeDocument/2006/relationships/drawing" Target="/xl/drawings/drawing163.xml" Id="rId1" /></Relationships>
</file>

<file path=xl/worksheets/_rels/sheet164.xml.rels><Relationships xmlns="http://schemas.openxmlformats.org/package/2006/relationships"><Relationship Type="http://schemas.openxmlformats.org/officeDocument/2006/relationships/drawing" Target="/xl/drawings/drawing164.xml" Id="rId1" /></Relationships>
</file>

<file path=xl/worksheets/_rels/sheet165.xml.rels><Relationships xmlns="http://schemas.openxmlformats.org/package/2006/relationships"><Relationship Type="http://schemas.openxmlformats.org/officeDocument/2006/relationships/drawing" Target="/xl/drawings/drawing165.xml" Id="rId1" /></Relationships>
</file>

<file path=xl/worksheets/_rels/sheet166.xml.rels><Relationships xmlns="http://schemas.openxmlformats.org/package/2006/relationships"><Relationship Type="http://schemas.openxmlformats.org/officeDocument/2006/relationships/drawing" Target="/xl/drawings/drawing166.xml" Id="rId1" /></Relationships>
</file>

<file path=xl/worksheets/_rels/sheet167.xml.rels><Relationships xmlns="http://schemas.openxmlformats.org/package/2006/relationships"><Relationship Type="http://schemas.openxmlformats.org/officeDocument/2006/relationships/drawing" Target="/xl/drawings/drawing167.xml" Id="rId1" /></Relationships>
</file>

<file path=xl/worksheets/_rels/sheet168.xml.rels><Relationships xmlns="http://schemas.openxmlformats.org/package/2006/relationships"><Relationship Type="http://schemas.openxmlformats.org/officeDocument/2006/relationships/drawing" Target="/xl/drawings/drawing168.xml" Id="rId1" /></Relationships>
</file>

<file path=xl/worksheets/_rels/sheet169.xml.rels><Relationships xmlns="http://schemas.openxmlformats.org/package/2006/relationships"><Relationship Type="http://schemas.openxmlformats.org/officeDocument/2006/relationships/drawing" Target="/xl/drawings/drawing169.xml" Id="rId1" /></Relationships>
</file>

<file path=xl/worksheets/_rels/sheet170.xml.rels><Relationships xmlns="http://schemas.openxmlformats.org/package/2006/relationships"><Relationship Type="http://schemas.openxmlformats.org/officeDocument/2006/relationships/drawing" Target="/xl/drawings/drawing170.xml" Id="rId1" /></Relationships>
</file>

<file path=xl/worksheets/_rels/sheet171.xml.rels><Relationships xmlns="http://schemas.openxmlformats.org/package/2006/relationships"><Relationship Type="http://schemas.openxmlformats.org/officeDocument/2006/relationships/drawing" Target="/xl/drawings/drawing171.xml" Id="rId1" /></Relationships>
</file>

<file path=xl/worksheets/_rels/sheet172.xml.rels><Relationships xmlns="http://schemas.openxmlformats.org/package/2006/relationships"><Relationship Type="http://schemas.openxmlformats.org/officeDocument/2006/relationships/drawing" Target="/xl/drawings/drawing172.xml" Id="rId1" /></Relationships>
</file>

<file path=xl/worksheets/_rels/sheet173.xml.rels><Relationships xmlns="http://schemas.openxmlformats.org/package/2006/relationships"><Relationship Type="http://schemas.openxmlformats.org/officeDocument/2006/relationships/drawing" Target="/xl/drawings/drawing173.xml" Id="rId1" /></Relationships>
</file>

<file path=xl/worksheets/_rels/sheet174.xml.rels><Relationships xmlns="http://schemas.openxmlformats.org/package/2006/relationships"><Relationship Type="http://schemas.openxmlformats.org/officeDocument/2006/relationships/drawing" Target="/xl/drawings/drawing174.xml" Id="rId1" /></Relationships>
</file>

<file path=xl/worksheets/_rels/sheet175.xml.rels><Relationships xmlns="http://schemas.openxmlformats.org/package/2006/relationships"><Relationship Type="http://schemas.openxmlformats.org/officeDocument/2006/relationships/drawing" Target="/xl/drawings/drawing175.xml" Id="rId1" /></Relationships>
</file>

<file path=xl/worksheets/_rels/sheet176.xml.rels><Relationships xmlns="http://schemas.openxmlformats.org/package/2006/relationships"><Relationship Type="http://schemas.openxmlformats.org/officeDocument/2006/relationships/drawing" Target="/xl/drawings/drawing176.xml" Id="rId1" /></Relationships>
</file>

<file path=xl/worksheets/_rels/sheet177.xml.rels><Relationships xmlns="http://schemas.openxmlformats.org/package/2006/relationships"><Relationship Type="http://schemas.openxmlformats.org/officeDocument/2006/relationships/drawing" Target="/xl/drawings/drawing177.xml" Id="rId1" /></Relationships>
</file>

<file path=xl/worksheets/_rels/sheet178.xml.rels><Relationships xmlns="http://schemas.openxmlformats.org/package/2006/relationships"><Relationship Type="http://schemas.openxmlformats.org/officeDocument/2006/relationships/drawing" Target="/xl/drawings/drawing178.xml" Id="rId1" /></Relationships>
</file>

<file path=xl/worksheets/_rels/sheet179.xml.rels><Relationships xmlns="http://schemas.openxmlformats.org/package/2006/relationships"><Relationship Type="http://schemas.openxmlformats.org/officeDocument/2006/relationships/drawing" Target="/xl/drawings/drawing179.xml" Id="rId1" /></Relationships>
</file>

<file path=xl/worksheets/_rels/sheet180.xml.rels><Relationships xmlns="http://schemas.openxmlformats.org/package/2006/relationships"><Relationship Type="http://schemas.openxmlformats.org/officeDocument/2006/relationships/drawing" Target="/xl/drawings/drawing180.xml" Id="rId1" /></Relationships>
</file>

<file path=xl/worksheets/_rels/sheet181.xml.rels><Relationships xmlns="http://schemas.openxmlformats.org/package/2006/relationships"><Relationship Type="http://schemas.openxmlformats.org/officeDocument/2006/relationships/drawing" Target="/xl/drawings/drawing181.xml" Id="rId1" /></Relationships>
</file>

<file path=xl/worksheets/_rels/sheet182.xml.rels><Relationships xmlns="http://schemas.openxmlformats.org/package/2006/relationships"><Relationship Type="http://schemas.openxmlformats.org/officeDocument/2006/relationships/drawing" Target="/xl/drawings/drawing182.xml" Id="rId1" /></Relationships>
</file>

<file path=xl/worksheets/_rels/sheet183.xml.rels><Relationships xmlns="http://schemas.openxmlformats.org/package/2006/relationships"><Relationship Type="http://schemas.openxmlformats.org/officeDocument/2006/relationships/drawing" Target="/xl/drawings/drawing183.xml" Id="rId1" /></Relationships>
</file>

<file path=xl/worksheets/_rels/sheet184.xml.rels><Relationships xmlns="http://schemas.openxmlformats.org/package/2006/relationships"><Relationship Type="http://schemas.openxmlformats.org/officeDocument/2006/relationships/drawing" Target="/xl/drawings/drawing184.xml" Id="rId1" /></Relationships>
</file>

<file path=xl/worksheets/_rels/sheet185.xml.rels><Relationships xmlns="http://schemas.openxmlformats.org/package/2006/relationships"><Relationship Type="http://schemas.openxmlformats.org/officeDocument/2006/relationships/drawing" Target="/xl/drawings/drawing185.xml" Id="rId1" /></Relationships>
</file>

<file path=xl/worksheets/_rels/sheet186.xml.rels><Relationships xmlns="http://schemas.openxmlformats.org/package/2006/relationships"><Relationship Type="http://schemas.openxmlformats.org/officeDocument/2006/relationships/drawing" Target="/xl/drawings/drawing186.xml" Id="rId1" /></Relationships>
</file>

<file path=xl/worksheets/_rels/sheet187.xml.rels><Relationships xmlns="http://schemas.openxmlformats.org/package/2006/relationships"><Relationship Type="http://schemas.openxmlformats.org/officeDocument/2006/relationships/drawing" Target="/xl/drawings/drawing187.xml" Id="rId1" /></Relationships>
</file>

<file path=xl/worksheets/_rels/sheet188.xml.rels><Relationships xmlns="http://schemas.openxmlformats.org/package/2006/relationships"><Relationship Type="http://schemas.openxmlformats.org/officeDocument/2006/relationships/drawing" Target="/xl/drawings/drawing188.xml" Id="rId1" /></Relationships>
</file>

<file path=xl/worksheets/_rels/sheet189.xml.rels><Relationships xmlns="http://schemas.openxmlformats.org/package/2006/relationships"><Relationship Type="http://schemas.openxmlformats.org/officeDocument/2006/relationships/drawing" Target="/xl/drawings/drawing189.xml" Id="rId1" /></Relationships>
</file>

<file path=xl/worksheets/_rels/sheet190.xml.rels><Relationships xmlns="http://schemas.openxmlformats.org/package/2006/relationships"><Relationship Type="http://schemas.openxmlformats.org/officeDocument/2006/relationships/drawing" Target="/xl/drawings/drawing190.xml" Id="rId1" /></Relationships>
</file>

<file path=xl/worksheets/_rels/sheet191.xml.rels><Relationships xmlns="http://schemas.openxmlformats.org/package/2006/relationships"><Relationship Type="http://schemas.openxmlformats.org/officeDocument/2006/relationships/drawing" Target="/xl/drawings/drawing191.xml" Id="rId1" /></Relationships>
</file>

<file path=xl/worksheets/_rels/sheet192.xml.rels><Relationships xmlns="http://schemas.openxmlformats.org/package/2006/relationships"><Relationship Type="http://schemas.openxmlformats.org/officeDocument/2006/relationships/drawing" Target="/xl/drawings/drawing192.xml" Id="rId1" /></Relationships>
</file>

<file path=xl/worksheets/_rels/sheet193.xml.rels><Relationships xmlns="http://schemas.openxmlformats.org/package/2006/relationships"><Relationship Type="http://schemas.openxmlformats.org/officeDocument/2006/relationships/drawing" Target="/xl/drawings/drawing193.xml" Id="rId1" /></Relationships>
</file>

<file path=xl/worksheets/_rels/sheet194.xml.rels><Relationships xmlns="http://schemas.openxmlformats.org/package/2006/relationships"><Relationship Type="http://schemas.openxmlformats.org/officeDocument/2006/relationships/drawing" Target="/xl/drawings/drawing194.xml" Id="rId1" /></Relationships>
</file>

<file path=xl/worksheets/_rels/sheet195.xml.rels><Relationships xmlns="http://schemas.openxmlformats.org/package/2006/relationships"><Relationship Type="http://schemas.openxmlformats.org/officeDocument/2006/relationships/drawing" Target="/xl/drawings/drawing195.xml" Id="rId1" /></Relationships>
</file>

<file path=xl/worksheets/_rels/sheet196.xml.rels><Relationships xmlns="http://schemas.openxmlformats.org/package/2006/relationships"><Relationship Type="http://schemas.openxmlformats.org/officeDocument/2006/relationships/drawing" Target="/xl/drawings/drawing196.xml" Id="rId1" /></Relationships>
</file>

<file path=xl/worksheets/_rels/sheet197.xml.rels><Relationships xmlns="http://schemas.openxmlformats.org/package/2006/relationships"><Relationship Type="http://schemas.openxmlformats.org/officeDocument/2006/relationships/drawing" Target="/xl/drawings/drawing197.xml" Id="rId1" /></Relationships>
</file>

<file path=xl/worksheets/_rels/sheet198.xml.rels><Relationships xmlns="http://schemas.openxmlformats.org/package/2006/relationships"><Relationship Type="http://schemas.openxmlformats.org/officeDocument/2006/relationships/drawing" Target="/xl/drawings/drawing198.xml" Id="rId1" /></Relationships>
</file>

<file path=xl/worksheets/_rels/sheet199.xml.rels><Relationships xmlns="http://schemas.openxmlformats.org/package/2006/relationships"><Relationship Type="http://schemas.openxmlformats.org/officeDocument/2006/relationships/drawing" Target="/xl/drawings/drawing199.xml" Id="rId1" /></Relationships>
</file>

<file path=xl/worksheets/_rels/sheet200.xml.rels><Relationships xmlns="http://schemas.openxmlformats.org/package/2006/relationships"><Relationship Type="http://schemas.openxmlformats.org/officeDocument/2006/relationships/drawing" Target="/xl/drawings/drawing200.xml" Id="rId1" /></Relationships>
</file>

<file path=xl/worksheets/_rels/sheet201.xml.rels><Relationships xmlns="http://schemas.openxmlformats.org/package/2006/relationships"><Relationship Type="http://schemas.openxmlformats.org/officeDocument/2006/relationships/drawing" Target="/xl/drawings/drawing201.xml" Id="rId1" /></Relationships>
</file>

<file path=xl/worksheets/_rels/sheet202.xml.rels><Relationships xmlns="http://schemas.openxmlformats.org/package/2006/relationships"><Relationship Type="http://schemas.openxmlformats.org/officeDocument/2006/relationships/drawing" Target="/xl/drawings/drawing202.xml" Id="rId1" /></Relationships>
</file>

<file path=xl/worksheets/_rels/sheet203.xml.rels><Relationships xmlns="http://schemas.openxmlformats.org/package/2006/relationships"><Relationship Type="http://schemas.openxmlformats.org/officeDocument/2006/relationships/drawing" Target="/xl/drawings/drawing203.xml" Id="rId1" /></Relationships>
</file>

<file path=xl/worksheets/_rels/sheet204.xml.rels><Relationships xmlns="http://schemas.openxmlformats.org/package/2006/relationships"><Relationship Type="http://schemas.openxmlformats.org/officeDocument/2006/relationships/drawing" Target="/xl/drawings/drawing204.xml" Id="rId1" /></Relationships>
</file>

<file path=xl/worksheets/_rels/sheet205.xml.rels><Relationships xmlns="http://schemas.openxmlformats.org/package/2006/relationships"><Relationship Type="http://schemas.openxmlformats.org/officeDocument/2006/relationships/drawing" Target="/xl/drawings/drawing205.xml" Id="rId1" /></Relationships>
</file>

<file path=xl/worksheets/_rels/sheet206.xml.rels><Relationships xmlns="http://schemas.openxmlformats.org/package/2006/relationships"><Relationship Type="http://schemas.openxmlformats.org/officeDocument/2006/relationships/drawing" Target="/xl/drawings/drawing206.xml" Id="rId1" /></Relationships>
</file>

<file path=xl/worksheets/_rels/sheet207.xml.rels><Relationships xmlns="http://schemas.openxmlformats.org/package/2006/relationships"><Relationship Type="http://schemas.openxmlformats.org/officeDocument/2006/relationships/drawing" Target="/xl/drawings/drawing207.xml" Id="rId1" /></Relationships>
</file>

<file path=xl/worksheets/_rels/sheet208.xml.rels><Relationships xmlns="http://schemas.openxmlformats.org/package/2006/relationships"><Relationship Type="http://schemas.openxmlformats.org/officeDocument/2006/relationships/drawing" Target="/xl/drawings/drawing208.xml" Id="rId1" /></Relationships>
</file>

<file path=xl/worksheets/_rels/sheet209.xml.rels><Relationships xmlns="http://schemas.openxmlformats.org/package/2006/relationships"><Relationship Type="http://schemas.openxmlformats.org/officeDocument/2006/relationships/drawing" Target="/xl/drawings/drawing209.xml" Id="rId1" /></Relationships>
</file>

<file path=xl/worksheets/_rels/sheet210.xml.rels><Relationships xmlns="http://schemas.openxmlformats.org/package/2006/relationships"><Relationship Type="http://schemas.openxmlformats.org/officeDocument/2006/relationships/drawing" Target="/xl/drawings/drawing210.xml" Id="rId1" /></Relationships>
</file>

<file path=xl/worksheets/_rels/sheet211.xml.rels><Relationships xmlns="http://schemas.openxmlformats.org/package/2006/relationships"><Relationship Type="http://schemas.openxmlformats.org/officeDocument/2006/relationships/drawing" Target="/xl/drawings/drawing211.xml" Id="rId1" /></Relationships>
</file>

<file path=xl/worksheets/_rels/sheet212.xml.rels><Relationships xmlns="http://schemas.openxmlformats.org/package/2006/relationships"><Relationship Type="http://schemas.openxmlformats.org/officeDocument/2006/relationships/drawing" Target="/xl/drawings/drawing212.xml" Id="rId1" /></Relationships>
</file>

<file path=xl/worksheets/_rels/sheet213.xml.rels><Relationships xmlns="http://schemas.openxmlformats.org/package/2006/relationships"><Relationship Type="http://schemas.openxmlformats.org/officeDocument/2006/relationships/drawing" Target="/xl/drawings/drawing213.xml" Id="rId1" /></Relationships>
</file>

<file path=xl/worksheets/_rels/sheet214.xml.rels><Relationships xmlns="http://schemas.openxmlformats.org/package/2006/relationships"><Relationship Type="http://schemas.openxmlformats.org/officeDocument/2006/relationships/drawing" Target="/xl/drawings/drawing214.xml" Id="rId1" /></Relationships>
</file>

<file path=xl/worksheets/_rels/sheet215.xml.rels><Relationships xmlns="http://schemas.openxmlformats.org/package/2006/relationships"><Relationship Type="http://schemas.openxmlformats.org/officeDocument/2006/relationships/drawing" Target="/xl/drawings/drawing215.xml" Id="rId1" /></Relationships>
</file>

<file path=xl/worksheets/_rels/sheet216.xml.rels><Relationships xmlns="http://schemas.openxmlformats.org/package/2006/relationships"><Relationship Type="http://schemas.openxmlformats.org/officeDocument/2006/relationships/drawing" Target="/xl/drawings/drawing216.xml" Id="rId1" /></Relationships>
</file>

<file path=xl/worksheets/_rels/sheet217.xml.rels><Relationships xmlns="http://schemas.openxmlformats.org/package/2006/relationships"><Relationship Type="http://schemas.openxmlformats.org/officeDocument/2006/relationships/drawing" Target="/xl/drawings/drawing217.xml" Id="rId1" /></Relationships>
</file>

<file path=xl/worksheets/_rels/sheet218.xml.rels><Relationships xmlns="http://schemas.openxmlformats.org/package/2006/relationships"><Relationship Type="http://schemas.openxmlformats.org/officeDocument/2006/relationships/drawing" Target="/xl/drawings/drawing218.xml" Id="rId1" /></Relationships>
</file>

<file path=xl/worksheets/_rels/sheet219.xml.rels><Relationships xmlns="http://schemas.openxmlformats.org/package/2006/relationships"><Relationship Type="http://schemas.openxmlformats.org/officeDocument/2006/relationships/drawing" Target="/xl/drawings/drawing219.xml" Id="rId1" /></Relationships>
</file>

<file path=xl/worksheets/_rels/sheet220.xml.rels><Relationships xmlns="http://schemas.openxmlformats.org/package/2006/relationships"><Relationship Type="http://schemas.openxmlformats.org/officeDocument/2006/relationships/drawing" Target="/xl/drawings/drawing220.xml" Id="rId1" /></Relationships>
</file>

<file path=xl/worksheets/_rels/sheet221.xml.rels><Relationships xmlns="http://schemas.openxmlformats.org/package/2006/relationships"><Relationship Type="http://schemas.openxmlformats.org/officeDocument/2006/relationships/drawing" Target="/xl/drawings/drawing221.xml" Id="rId1" /></Relationships>
</file>

<file path=xl/worksheets/_rels/sheet222.xml.rels><Relationships xmlns="http://schemas.openxmlformats.org/package/2006/relationships"><Relationship Type="http://schemas.openxmlformats.org/officeDocument/2006/relationships/drawing" Target="/xl/drawings/drawing222.xml" Id="rId1" /></Relationships>
</file>

<file path=xl/worksheets/_rels/sheet223.xml.rels><Relationships xmlns="http://schemas.openxmlformats.org/package/2006/relationships"><Relationship Type="http://schemas.openxmlformats.org/officeDocument/2006/relationships/drawing" Target="/xl/drawings/drawing223.xml" Id="rId1" /></Relationships>
</file>

<file path=xl/worksheets/_rels/sheet224.xml.rels><Relationships xmlns="http://schemas.openxmlformats.org/package/2006/relationships"><Relationship Type="http://schemas.openxmlformats.org/officeDocument/2006/relationships/drawing" Target="/xl/drawings/drawing224.xml" Id="rId1" /></Relationships>
</file>

<file path=xl/worksheets/_rels/sheet225.xml.rels><Relationships xmlns="http://schemas.openxmlformats.org/package/2006/relationships"><Relationship Type="http://schemas.openxmlformats.org/officeDocument/2006/relationships/drawing" Target="/xl/drawings/drawing225.xml" Id="rId1" /></Relationships>
</file>

<file path=xl/worksheets/_rels/sheet226.xml.rels><Relationships xmlns="http://schemas.openxmlformats.org/package/2006/relationships"><Relationship Type="http://schemas.openxmlformats.org/officeDocument/2006/relationships/drawing" Target="/xl/drawings/drawing226.xml" Id="rId1" /></Relationships>
</file>

<file path=xl/worksheets/_rels/sheet227.xml.rels><Relationships xmlns="http://schemas.openxmlformats.org/package/2006/relationships"><Relationship Type="http://schemas.openxmlformats.org/officeDocument/2006/relationships/drawing" Target="/xl/drawings/drawing227.xml" Id="rId1" /></Relationships>
</file>

<file path=xl/worksheets/_rels/sheet228.xml.rels><Relationships xmlns="http://schemas.openxmlformats.org/package/2006/relationships"><Relationship Type="http://schemas.openxmlformats.org/officeDocument/2006/relationships/drawing" Target="/xl/drawings/drawing228.xml" Id="rId1" /></Relationships>
</file>

<file path=xl/worksheets/_rels/sheet229.xml.rels><Relationships xmlns="http://schemas.openxmlformats.org/package/2006/relationships"><Relationship Type="http://schemas.openxmlformats.org/officeDocument/2006/relationships/drawing" Target="/xl/drawings/drawing229.xml" Id="rId1" /></Relationships>
</file>

<file path=xl/worksheets/_rels/sheet230.xml.rels><Relationships xmlns="http://schemas.openxmlformats.org/package/2006/relationships"><Relationship Type="http://schemas.openxmlformats.org/officeDocument/2006/relationships/drawing" Target="/xl/drawings/drawing230.xml" Id="rId1" /></Relationships>
</file>

<file path=xl/worksheets/_rels/sheet231.xml.rels><Relationships xmlns="http://schemas.openxmlformats.org/package/2006/relationships"><Relationship Type="http://schemas.openxmlformats.org/officeDocument/2006/relationships/drawing" Target="/xl/drawings/drawing231.xml" Id="rId1" /></Relationships>
</file>

<file path=xl/worksheets/_rels/sheet232.xml.rels><Relationships xmlns="http://schemas.openxmlformats.org/package/2006/relationships"><Relationship Type="http://schemas.openxmlformats.org/officeDocument/2006/relationships/drawing" Target="/xl/drawings/drawing232.xml" Id="rId1" /></Relationships>
</file>

<file path=xl/worksheets/_rels/sheet233.xml.rels><Relationships xmlns="http://schemas.openxmlformats.org/package/2006/relationships"><Relationship Type="http://schemas.openxmlformats.org/officeDocument/2006/relationships/drawing" Target="/xl/drawings/drawing233.xml" Id="rId1" /></Relationships>
</file>

<file path=xl/worksheets/_rels/sheet234.xml.rels><Relationships xmlns="http://schemas.openxmlformats.org/package/2006/relationships"><Relationship Type="http://schemas.openxmlformats.org/officeDocument/2006/relationships/drawing" Target="/xl/drawings/drawing234.xml" Id="rId1" /></Relationships>
</file>

<file path=xl/worksheets/_rels/sheet235.xml.rels><Relationships xmlns="http://schemas.openxmlformats.org/package/2006/relationships"><Relationship Type="http://schemas.openxmlformats.org/officeDocument/2006/relationships/drawing" Target="/xl/drawings/drawing235.xml" Id="rId1" /></Relationships>
</file>

<file path=xl/worksheets/_rels/sheet236.xml.rels><Relationships xmlns="http://schemas.openxmlformats.org/package/2006/relationships"><Relationship Type="http://schemas.openxmlformats.org/officeDocument/2006/relationships/drawing" Target="/xl/drawings/drawing236.xml" Id="rId1" /></Relationships>
</file>

<file path=xl/worksheets/_rels/sheet237.xml.rels><Relationships xmlns="http://schemas.openxmlformats.org/package/2006/relationships"><Relationship Type="http://schemas.openxmlformats.org/officeDocument/2006/relationships/drawing" Target="/xl/drawings/drawing237.xml" Id="rId1" /></Relationships>
</file>

<file path=xl/worksheets/_rels/sheet238.xml.rels><Relationships xmlns="http://schemas.openxmlformats.org/package/2006/relationships"><Relationship Type="http://schemas.openxmlformats.org/officeDocument/2006/relationships/drawing" Target="/xl/drawings/drawing238.xml" Id="rId1" /></Relationships>
</file>

<file path=xl/worksheets/_rels/sheet239.xml.rels><Relationships xmlns="http://schemas.openxmlformats.org/package/2006/relationships"><Relationship Type="http://schemas.openxmlformats.org/officeDocument/2006/relationships/drawing" Target="/xl/drawings/drawing239.xml" Id="rId1" /></Relationships>
</file>

<file path=xl/worksheets/_rels/sheet240.xml.rels><Relationships xmlns="http://schemas.openxmlformats.org/package/2006/relationships"><Relationship Type="http://schemas.openxmlformats.org/officeDocument/2006/relationships/drawing" Target="/xl/drawings/drawing240.xml" Id="rId1" /></Relationships>
</file>

<file path=xl/worksheets/_rels/sheet241.xml.rels><Relationships xmlns="http://schemas.openxmlformats.org/package/2006/relationships"><Relationship Type="http://schemas.openxmlformats.org/officeDocument/2006/relationships/drawing" Target="/xl/drawings/drawing241.xml" Id="rId1" /></Relationships>
</file>

<file path=xl/worksheets/_rels/sheet242.xml.rels><Relationships xmlns="http://schemas.openxmlformats.org/package/2006/relationships"><Relationship Type="http://schemas.openxmlformats.org/officeDocument/2006/relationships/drawing" Target="/xl/drawings/drawing242.xml" Id="rId1" /></Relationships>
</file>

<file path=xl/worksheets/_rels/sheet243.xml.rels><Relationships xmlns="http://schemas.openxmlformats.org/package/2006/relationships"><Relationship Type="http://schemas.openxmlformats.org/officeDocument/2006/relationships/drawing" Target="/xl/drawings/drawing243.xml" Id="rId1" /></Relationships>
</file>

<file path=xl/worksheets/_rels/sheet244.xml.rels><Relationships xmlns="http://schemas.openxmlformats.org/package/2006/relationships"><Relationship Type="http://schemas.openxmlformats.org/officeDocument/2006/relationships/drawing" Target="/xl/drawings/drawing244.xml" Id="rId1" 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245.xml" Id="rId1" /></Relationships>
</file>

<file path=xl/worksheets/_rels/sheet246.xml.rels><Relationships xmlns="http://schemas.openxmlformats.org/package/2006/relationships"><Relationship Type="http://schemas.openxmlformats.org/officeDocument/2006/relationships/drawing" Target="/xl/drawings/drawing246.xml" Id="rId1" /></Relationships>
</file>

<file path=xl/worksheets/_rels/sheet247.xml.rels><Relationships xmlns="http://schemas.openxmlformats.org/package/2006/relationships"><Relationship Type="http://schemas.openxmlformats.org/officeDocument/2006/relationships/drawing" Target="/xl/drawings/drawing247.xml" Id="rId1" /></Relationships>
</file>

<file path=xl/worksheets/_rels/sheet248.xml.rels><Relationships xmlns="http://schemas.openxmlformats.org/package/2006/relationships"><Relationship Type="http://schemas.openxmlformats.org/officeDocument/2006/relationships/drawing" Target="/xl/drawings/drawing248.xml" Id="rId1" /></Relationships>
</file>

<file path=xl/worksheets/_rels/sheet249.xml.rels><Relationships xmlns="http://schemas.openxmlformats.org/package/2006/relationships"><Relationship Type="http://schemas.openxmlformats.org/officeDocument/2006/relationships/drawing" Target="/xl/drawings/drawing249.xml" Id="rId1" /></Relationships>
</file>

<file path=xl/worksheets/_rels/sheet250.xml.rels><Relationships xmlns="http://schemas.openxmlformats.org/package/2006/relationships"><Relationship Type="http://schemas.openxmlformats.org/officeDocument/2006/relationships/drawing" Target="/xl/drawings/drawing250.xml" Id="rId1" /></Relationships>
</file>

<file path=xl/worksheets/_rels/sheet251.xml.rels><Relationships xmlns="http://schemas.openxmlformats.org/package/2006/relationships"><Relationship Type="http://schemas.openxmlformats.org/officeDocument/2006/relationships/drawing" Target="/xl/drawings/drawing251.xml" Id="rId1" /></Relationships>
</file>

<file path=xl/worksheets/_rels/sheet252.xml.rels><Relationships xmlns="http://schemas.openxmlformats.org/package/2006/relationships"><Relationship Type="http://schemas.openxmlformats.org/officeDocument/2006/relationships/drawing" Target="/xl/drawings/drawing252.xml" Id="rId1" /></Relationships>
</file>

<file path=xl/worksheets/_rels/sheet253.xml.rels><Relationships xmlns="http://schemas.openxmlformats.org/package/2006/relationships"><Relationship Type="http://schemas.openxmlformats.org/officeDocument/2006/relationships/drawing" Target="/xl/drawings/drawing253.xml" Id="rId1" /></Relationships>
</file>

<file path=xl/worksheets/_rels/sheet254.xml.rels><Relationships xmlns="http://schemas.openxmlformats.org/package/2006/relationships"><Relationship Type="http://schemas.openxmlformats.org/officeDocument/2006/relationships/drawing" Target="/xl/drawings/drawing254.xml" Id="rId1" /></Relationships>
</file>

<file path=xl/worksheets/_rels/sheet255.xml.rels><Relationships xmlns="http://schemas.openxmlformats.org/package/2006/relationships"><Relationship Type="http://schemas.openxmlformats.org/officeDocument/2006/relationships/drawing" Target="/xl/drawings/drawing255.xml" Id="rId1" /></Relationships>
</file>

<file path=xl/worksheets/_rels/sheet256.xml.rels><Relationships xmlns="http://schemas.openxmlformats.org/package/2006/relationships"><Relationship Type="http://schemas.openxmlformats.org/officeDocument/2006/relationships/drawing" Target="/xl/drawings/drawing256.xml" Id="rId1" /></Relationships>
</file>

<file path=xl/worksheets/_rels/sheet257.xml.rels><Relationships xmlns="http://schemas.openxmlformats.org/package/2006/relationships"><Relationship Type="http://schemas.openxmlformats.org/officeDocument/2006/relationships/drawing" Target="/xl/drawings/drawing257.xml" Id="rId1" /></Relationships>
</file>

<file path=xl/worksheets/_rels/sheet258.xml.rels><Relationships xmlns="http://schemas.openxmlformats.org/package/2006/relationships"><Relationship Type="http://schemas.openxmlformats.org/officeDocument/2006/relationships/drawing" Target="/xl/drawings/drawing258.xml" Id="rId1" /></Relationships>
</file>

<file path=xl/worksheets/_rels/sheet259.xml.rels><Relationships xmlns="http://schemas.openxmlformats.org/package/2006/relationships"><Relationship Type="http://schemas.openxmlformats.org/officeDocument/2006/relationships/drawing" Target="/xl/drawings/drawing259.xml" Id="rId1" /></Relationships>
</file>

<file path=xl/worksheets/_rels/sheet260.xml.rels><Relationships xmlns="http://schemas.openxmlformats.org/package/2006/relationships"><Relationship Type="http://schemas.openxmlformats.org/officeDocument/2006/relationships/drawing" Target="/xl/drawings/drawing260.xml" Id="rId1" /></Relationships>
</file>

<file path=xl/worksheets/_rels/sheet261.xml.rels><Relationships xmlns="http://schemas.openxmlformats.org/package/2006/relationships"><Relationship Type="http://schemas.openxmlformats.org/officeDocument/2006/relationships/drawing" Target="/xl/drawings/drawing261.xml" Id="rId1" /></Relationships>
</file>

<file path=xl/worksheets/_rels/sheet262.xml.rels><Relationships xmlns="http://schemas.openxmlformats.org/package/2006/relationships"><Relationship Type="http://schemas.openxmlformats.org/officeDocument/2006/relationships/drawing" Target="/xl/drawings/drawing262.xml" Id="rId1" /></Relationships>
</file>

<file path=xl/worksheets/_rels/sheet263.xml.rels><Relationships xmlns="http://schemas.openxmlformats.org/package/2006/relationships"><Relationship Type="http://schemas.openxmlformats.org/officeDocument/2006/relationships/drawing" Target="/xl/drawings/drawing263.xml" Id="rId1" /></Relationships>
</file>

<file path=xl/worksheets/_rels/sheet264.xml.rels><Relationships xmlns="http://schemas.openxmlformats.org/package/2006/relationships"><Relationship Type="http://schemas.openxmlformats.org/officeDocument/2006/relationships/drawing" Target="/xl/drawings/drawing264.xml" Id="rId1" /></Relationships>
</file>

<file path=xl/worksheets/_rels/sheet265.xml.rels><Relationships xmlns="http://schemas.openxmlformats.org/package/2006/relationships"><Relationship Type="http://schemas.openxmlformats.org/officeDocument/2006/relationships/drawing" Target="/xl/drawings/drawing265.xml" Id="rId1" /></Relationships>
</file>

<file path=xl/worksheets/_rels/sheet266.xml.rels><Relationships xmlns="http://schemas.openxmlformats.org/package/2006/relationships"><Relationship Type="http://schemas.openxmlformats.org/officeDocument/2006/relationships/drawing" Target="/xl/drawings/drawing266.xml" Id="rId1" /></Relationships>
</file>

<file path=xl/worksheets/_rels/sheet267.xml.rels><Relationships xmlns="http://schemas.openxmlformats.org/package/2006/relationships"><Relationship Type="http://schemas.openxmlformats.org/officeDocument/2006/relationships/drawing" Target="/xl/drawings/drawing267.xml" Id="rId1" /></Relationships>
</file>

<file path=xl/worksheets/_rels/sheet268.xml.rels><Relationships xmlns="http://schemas.openxmlformats.org/package/2006/relationships"><Relationship Type="http://schemas.openxmlformats.org/officeDocument/2006/relationships/drawing" Target="/xl/drawings/drawing268.xml" Id="rId1" /></Relationships>
</file>

<file path=xl/worksheets/_rels/sheet269.xml.rels><Relationships xmlns="http://schemas.openxmlformats.org/package/2006/relationships"><Relationship Type="http://schemas.openxmlformats.org/officeDocument/2006/relationships/drawing" Target="/xl/drawings/drawing269.xml" Id="rId1" /></Relationships>
</file>

<file path=xl/worksheets/_rels/sheet270.xml.rels><Relationships xmlns="http://schemas.openxmlformats.org/package/2006/relationships"><Relationship Type="http://schemas.openxmlformats.org/officeDocument/2006/relationships/drawing" Target="/xl/drawings/drawing270.xml" Id="rId1" /></Relationships>
</file>

<file path=xl/worksheets/_rels/sheet271.xml.rels><Relationships xmlns="http://schemas.openxmlformats.org/package/2006/relationships"><Relationship Type="http://schemas.openxmlformats.org/officeDocument/2006/relationships/drawing" Target="/xl/drawings/drawing271.xml" Id="rId1" /></Relationships>
</file>

<file path=xl/worksheets/_rels/sheet272.xml.rels><Relationships xmlns="http://schemas.openxmlformats.org/package/2006/relationships"><Relationship Type="http://schemas.openxmlformats.org/officeDocument/2006/relationships/drawing" Target="/xl/drawings/drawing272.xml" Id="rId1" /></Relationships>
</file>

<file path=xl/worksheets/_rels/sheet273.xml.rels><Relationships xmlns="http://schemas.openxmlformats.org/package/2006/relationships"><Relationship Type="http://schemas.openxmlformats.org/officeDocument/2006/relationships/drawing" Target="/xl/drawings/drawing273.xml" Id="rId1" /></Relationships>
</file>

<file path=xl/worksheets/_rels/sheet274.xml.rels><Relationships xmlns="http://schemas.openxmlformats.org/package/2006/relationships"><Relationship Type="http://schemas.openxmlformats.org/officeDocument/2006/relationships/drawing" Target="/xl/drawings/drawing274.xml" Id="rId1" /></Relationships>
</file>

<file path=xl/worksheets/_rels/sheet275.xml.rels><Relationships xmlns="http://schemas.openxmlformats.org/package/2006/relationships"><Relationship Type="http://schemas.openxmlformats.org/officeDocument/2006/relationships/drawing" Target="/xl/drawings/drawing275.xml" Id="rId1" /></Relationships>
</file>

<file path=xl/worksheets/_rels/sheet276.xml.rels><Relationships xmlns="http://schemas.openxmlformats.org/package/2006/relationships"><Relationship Type="http://schemas.openxmlformats.org/officeDocument/2006/relationships/drawing" Target="/xl/drawings/drawing276.xml" Id="rId1" /></Relationships>
</file>

<file path=xl/worksheets/_rels/sheet277.xml.rels><Relationships xmlns="http://schemas.openxmlformats.org/package/2006/relationships"><Relationship Type="http://schemas.openxmlformats.org/officeDocument/2006/relationships/drawing" Target="/xl/drawings/drawing277.xml" Id="rId1" /></Relationships>
</file>

<file path=xl/worksheets/_rels/sheet278.xml.rels><Relationships xmlns="http://schemas.openxmlformats.org/package/2006/relationships"><Relationship Type="http://schemas.openxmlformats.org/officeDocument/2006/relationships/drawing" Target="/xl/drawings/drawing278.xml" Id="rId1" /></Relationships>
</file>

<file path=xl/worksheets/_rels/sheet279.xml.rels><Relationships xmlns="http://schemas.openxmlformats.org/package/2006/relationships"><Relationship Type="http://schemas.openxmlformats.org/officeDocument/2006/relationships/drawing" Target="/xl/drawings/drawing279.xml" Id="rId1" /></Relationships>
</file>

<file path=xl/worksheets/_rels/sheet280.xml.rels><Relationships xmlns="http://schemas.openxmlformats.org/package/2006/relationships"><Relationship Type="http://schemas.openxmlformats.org/officeDocument/2006/relationships/drawing" Target="/xl/drawings/drawing280.xml" Id="rId1" /></Relationships>
</file>

<file path=xl/worksheets/_rels/sheet281.xml.rels><Relationships xmlns="http://schemas.openxmlformats.org/package/2006/relationships"><Relationship Type="http://schemas.openxmlformats.org/officeDocument/2006/relationships/drawing" Target="/xl/drawings/drawing281.xml" Id="rId1" /></Relationships>
</file>

<file path=xl/worksheets/_rels/sheet282.xml.rels><Relationships xmlns="http://schemas.openxmlformats.org/package/2006/relationships"><Relationship Type="http://schemas.openxmlformats.org/officeDocument/2006/relationships/drawing" Target="/xl/drawings/drawing282.xml" Id="rId1" /></Relationships>
</file>

<file path=xl/worksheets/_rels/sheet283.xml.rels><Relationships xmlns="http://schemas.openxmlformats.org/package/2006/relationships"><Relationship Type="http://schemas.openxmlformats.org/officeDocument/2006/relationships/drawing" Target="/xl/drawings/drawing283.xml" Id="rId1" /></Relationships>
</file>

<file path=xl/worksheets/_rels/sheet284.xml.rels><Relationships xmlns="http://schemas.openxmlformats.org/package/2006/relationships"><Relationship Type="http://schemas.openxmlformats.org/officeDocument/2006/relationships/drawing" Target="/xl/drawings/drawing284.xml" Id="rId1" /></Relationships>
</file>

<file path=xl/worksheets/_rels/sheet285.xml.rels><Relationships xmlns="http://schemas.openxmlformats.org/package/2006/relationships"><Relationship Type="http://schemas.openxmlformats.org/officeDocument/2006/relationships/drawing" Target="/xl/drawings/drawing285.xml" Id="rId1" /></Relationships>
</file>

<file path=xl/worksheets/_rels/sheet286.xml.rels><Relationships xmlns="http://schemas.openxmlformats.org/package/2006/relationships"><Relationship Type="http://schemas.openxmlformats.org/officeDocument/2006/relationships/drawing" Target="/xl/drawings/drawing286.xml" Id="rId1" /></Relationships>
</file>

<file path=xl/worksheets/_rels/sheet287.xml.rels><Relationships xmlns="http://schemas.openxmlformats.org/package/2006/relationships"><Relationship Type="http://schemas.openxmlformats.org/officeDocument/2006/relationships/drawing" Target="/xl/drawings/drawing287.xml" Id="rId1" /></Relationships>
</file>

<file path=xl/worksheets/_rels/sheet289.xml.rels><Relationships xmlns="http://schemas.openxmlformats.org/package/2006/relationships"><Relationship Type="http://schemas.openxmlformats.org/officeDocument/2006/relationships/drawing" Target="/xl/drawings/drawing288.xml" Id="rId1" /></Relationships>
</file>

<file path=xl/worksheets/_rels/sheet290.xml.rels><Relationships xmlns="http://schemas.openxmlformats.org/package/2006/relationships"><Relationship Type="http://schemas.openxmlformats.org/officeDocument/2006/relationships/drawing" Target="/xl/drawings/drawing289.xml" Id="rId1" /></Relationships>
</file>

<file path=xl/worksheets/_rels/sheet291.xml.rels><Relationships xmlns="http://schemas.openxmlformats.org/package/2006/relationships"><Relationship Type="http://schemas.openxmlformats.org/officeDocument/2006/relationships/drawing" Target="/xl/drawings/drawing290.xml" Id="rId1" /></Relationships>
</file>

<file path=xl/worksheets/_rels/sheet292.xml.rels><Relationships xmlns="http://schemas.openxmlformats.org/package/2006/relationships"><Relationship Type="http://schemas.openxmlformats.org/officeDocument/2006/relationships/drawing" Target="/xl/drawings/drawing291.xml" Id="rId1" /></Relationships>
</file>

<file path=xl/worksheets/_rels/sheet293.xml.rels><Relationships xmlns="http://schemas.openxmlformats.org/package/2006/relationships"><Relationship Type="http://schemas.openxmlformats.org/officeDocument/2006/relationships/drawing" Target="/xl/drawings/drawing292.xml" Id="rId1" /></Relationships>
</file>

<file path=xl/worksheets/_rels/sheet296.xml.rels><Relationships xmlns="http://schemas.openxmlformats.org/package/2006/relationships"><Relationship Type="http://schemas.openxmlformats.org/officeDocument/2006/relationships/drawing" Target="/xl/drawings/drawing29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7" zoomScaleNormal="80" zoomScaleSheetLayoutView="77" workbookViewId="0">
      <selection activeCell="B4" sqref="B4:B15"/>
    </sheetView>
  </sheetViews>
  <sheetFormatPr baseColWidth="8" defaultRowHeight="14.4" outlineLevelRow="1"/>
  <cols>
    <col width="19.6640625" bestFit="1" customWidth="1" min="1" max="1"/>
    <col width="15.6640625" bestFit="1" customWidth="1" min="2" max="4"/>
    <col width="12.6640625" customWidth="1" min="5" max="5"/>
    <col width="15.6640625" customWidth="1" min="6" max="6"/>
    <col width="12.5546875" customWidth="1" min="7" max="7"/>
    <col width="13.44140625" customWidth="1" min="8" max="8"/>
    <col hidden="1" width="9.6640625" customWidth="1" min="9" max="9"/>
    <col hidden="1" width="9.33203125" customWidth="1" min="10" max="10"/>
    <col hidden="1" width="11.5546875" customWidth="1" min="11" max="11"/>
    <col hidden="1" width="13.33203125" customWidth="1" min="12" max="12"/>
    <col width="15.6640625" customWidth="1" min="13" max="13"/>
    <col width="17" customWidth="1" style="9" min="14" max="14"/>
    <col width="9.33203125" customWidth="1" style="9" min="15" max="18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t="n">
        <v>1.14</v>
      </c>
    </row>
    <row r="2" ht="15" customHeight="1" thickBot="1">
      <c r="A2" s="1" t="n"/>
      <c r="B2" s="1" t="n"/>
      <c r="C2" s="1" t="n"/>
      <c r="D2" s="1" t="n"/>
      <c r="E2" s="31">
        <f>(((B4-B12-B13-B14-B9-B15)-D4)/D4)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SUM(B6:B15)</f>
        <v/>
      </c>
      <c r="C4" s="3" t="n">
        <v>1643651.1678</v>
      </c>
      <c r="D4" s="3">
        <f>SUM(D6:D15)</f>
        <v/>
      </c>
      <c r="E4" s="44">
        <f>IFERROR((SUM(B4-D4)/D4),0)</f>
        <v/>
      </c>
      <c r="F4" s="30">
        <f>SUM(F6:F15)</f>
        <v/>
      </c>
      <c r="G4" s="62">
        <f>SUM(G6:G15)</f>
        <v/>
      </c>
      <c r="H4" s="45">
        <f>AVERAGE(H5:H15)</f>
        <v/>
      </c>
      <c r="I4" s="46" t="n"/>
      <c r="J4" s="46" t="n"/>
      <c r="K4" s="29" t="n"/>
      <c r="L4" s="28">
        <f>J4/206494</f>
        <v/>
      </c>
      <c r="M4" s="30">
        <f>SUM(M6:M15)</f>
        <v/>
      </c>
      <c r="N4" s="24" t="n"/>
    </row>
    <row r="5" hidden="1" outlineLevel="1" ht="15.6" customHeight="1">
      <c r="A5" s="38" t="inlineStr">
        <is>
          <t>Bedfordview</t>
        </is>
      </c>
      <c r="B5" s="5" t="n"/>
      <c r="C5" s="5" t="n"/>
      <c r="D5" s="6" t="n"/>
      <c r="E5" s="4">
        <f>IFERROR(SUM(B5-D5)/D5,0)</f>
        <v/>
      </c>
      <c r="F5" s="5">
        <f>IFERROR(B5/1.14,0)</f>
        <v/>
      </c>
      <c r="G5" s="47" t="n"/>
      <c r="H5" s="48" t="n"/>
      <c r="I5" s="49" t="n"/>
      <c r="J5" s="46">
        <f>#REF!+#REF!+'Dec 25 - Jan 1 17'!I5</f>
        <v/>
      </c>
      <c r="K5" s="20" t="n"/>
      <c r="L5" s="28">
        <f>J5/206494</f>
        <v/>
      </c>
      <c r="M5" s="80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263914.3434</v>
      </c>
      <c r="D6" s="72" t="n">
        <v>350018.75</v>
      </c>
      <c r="E6" s="50">
        <f>IFERROR(SUM(B6-D6)/D6,0)</f>
        <v/>
      </c>
      <c r="F6" s="72" t="n">
        <v>230513.58</v>
      </c>
      <c r="G6" s="391" t="n">
        <v>1703</v>
      </c>
      <c r="H6" s="52">
        <f>IFERROR(B6/G6,0)</f>
        <v/>
      </c>
      <c r="I6" s="53" t="n"/>
      <c r="J6" s="54" t="n"/>
      <c r="K6" s="54" t="n"/>
      <c r="L6" s="54">
        <f>J6/18100</f>
        <v/>
      </c>
      <c r="M6" s="72" t="n">
        <v>6734.25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131205.0852</v>
      </c>
      <c r="D7" s="72" t="n">
        <v>121256.48</v>
      </c>
      <c r="E7" s="50">
        <f>IFERROR(SUM(B7-D7)/D7,0)</f>
        <v/>
      </c>
      <c r="F7" s="72" t="n">
        <v>118029.72</v>
      </c>
      <c r="G7" s="391" t="n">
        <v>921</v>
      </c>
      <c r="H7" s="52">
        <f>IFERROR(B7/G7,0)</f>
        <v/>
      </c>
      <c r="I7" s="53" t="n"/>
      <c r="J7" s="54" t="n"/>
      <c r="K7" s="54" t="n"/>
      <c r="L7" s="54">
        <f>J7/19932</f>
        <v/>
      </c>
      <c r="M7" s="72" t="n">
        <v>4828.35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98530.4736</v>
      </c>
      <c r="D8" s="72" t="n">
        <v>101164.58</v>
      </c>
      <c r="E8" s="50">
        <f>IFERROR(SUM(B8-D8)/D8,0)</f>
        <v/>
      </c>
      <c r="F8" s="72" t="n">
        <v>64198.25</v>
      </c>
      <c r="G8" s="391" t="n">
        <v>442</v>
      </c>
      <c r="H8" s="52">
        <f>IFERROR(B8/G8,0)</f>
        <v/>
      </c>
      <c r="I8" s="53" t="n"/>
      <c r="J8" s="54" t="n"/>
      <c r="K8" s="54" t="n"/>
      <c r="L8" s="54">
        <f>J8/25490</f>
        <v/>
      </c>
      <c r="M8" s="72" t="n">
        <v>1374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286871.595</v>
      </c>
      <c r="D9" s="72" t="n">
        <v>239113.87</v>
      </c>
      <c r="E9" s="50">
        <f>IFERROR(SUM(B9-D9)/D9,0)</f>
        <v/>
      </c>
      <c r="F9" s="72" t="n">
        <v>230462.87</v>
      </c>
      <c r="G9" s="391" t="n">
        <v>1767</v>
      </c>
      <c r="H9" s="52">
        <f>IFERROR(B9/G9,0)</f>
        <v/>
      </c>
      <c r="I9" s="53" t="n"/>
      <c r="J9" s="54" t="n"/>
      <c r="K9" s="54" t="n"/>
      <c r="L9" s="54">
        <f>J9/10403</f>
        <v/>
      </c>
      <c r="M9" s="72" t="n">
        <v>5402.95</v>
      </c>
      <c r="N9" s="26" t="n"/>
    </row>
    <row r="10" ht="15.6" customHeight="1">
      <c r="A10" s="39" t="inlineStr">
        <is>
          <t>The Wedge</t>
        </is>
      </c>
      <c r="B10" s="18">
        <f>F10*1.14</f>
        <v/>
      </c>
      <c r="C10" s="18" t="n">
        <v>112910.4336</v>
      </c>
      <c r="D10" s="72" t="n">
        <v>102757.5</v>
      </c>
      <c r="E10" s="50">
        <f>IFERROR(SUM(B10-D10)/D10,0)</f>
        <v/>
      </c>
      <c r="F10" s="72" t="n">
        <v>65560.60000000001</v>
      </c>
      <c r="G10" s="391" t="n">
        <v>444</v>
      </c>
      <c r="H10" s="52">
        <f>IFERROR(B10/G10,0)</f>
        <v/>
      </c>
      <c r="I10" s="53" t="n"/>
      <c r="J10" s="54" t="n"/>
      <c r="K10" s="54" t="n"/>
      <c r="L10" s="54">
        <f>J10/22707</f>
        <v/>
      </c>
      <c r="M10" s="72" t="n">
        <v>3351.83</v>
      </c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102979.0158</v>
      </c>
      <c r="D11" s="72" t="n">
        <v>182958.8</v>
      </c>
      <c r="E11" s="50">
        <f>IFERROR(SUM(B11-D11)/D11,0)</f>
        <v/>
      </c>
      <c r="F11" s="72" t="n">
        <v>111668.07</v>
      </c>
      <c r="G11" s="391" t="n">
        <v>714</v>
      </c>
      <c r="H11" s="52">
        <f>IFERROR(B11/G11,0)</f>
        <v/>
      </c>
      <c r="I11" s="53" t="n"/>
      <c r="J11" s="54" t="n"/>
      <c r="K11" s="54" t="n"/>
      <c r="L11" s="54">
        <f>J11/16449</f>
        <v/>
      </c>
      <c r="M11" s="72" t="n">
        <v>4539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280576.344</v>
      </c>
      <c r="D12" s="72" t="n">
        <v>320748.3</v>
      </c>
      <c r="E12" s="50">
        <f>IFERROR(SUM(B12-D12)/D12,0)</f>
        <v/>
      </c>
      <c r="F12" s="72" t="n">
        <v>200197.05</v>
      </c>
      <c r="G12" s="391" t="n">
        <v>1501</v>
      </c>
      <c r="H12" s="52">
        <f>IFERROR(B12/G12,0)</f>
        <v/>
      </c>
      <c r="I12" s="53" t="n"/>
      <c r="J12" s="54" t="n"/>
      <c r="K12" s="54" t="n"/>
      <c r="L12" s="54">
        <f>J12/18426</f>
        <v/>
      </c>
      <c r="M12" s="72" t="n">
        <v>5965.9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120383.2362</v>
      </c>
      <c r="D13" s="72" t="n">
        <v>114964.12</v>
      </c>
      <c r="E13" s="50">
        <f>IFERROR(SUM(B13-D13)/D13,0)</f>
        <v/>
      </c>
      <c r="F13" s="72" t="n">
        <v>111553.35</v>
      </c>
      <c r="G13" s="391" t="n">
        <v>942</v>
      </c>
      <c r="H13" s="52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2" t="n">
        <v>6946.7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140142.309</v>
      </c>
      <c r="D14" s="73" t="n">
        <v>0</v>
      </c>
      <c r="E14" s="50">
        <f>IFERROR(SUM(B14-D14)/D14,0)</f>
        <v/>
      </c>
      <c r="F14" s="72" t="n">
        <v>113644.73</v>
      </c>
      <c r="G14" s="391" t="n">
        <v>1392</v>
      </c>
      <c r="H14" s="52">
        <f>IFERROR(B14/G14,0)</f>
        <v/>
      </c>
      <c r="I14" s="53" t="n"/>
      <c r="J14" s="54" t="n"/>
      <c r="K14" s="54" t="n"/>
      <c r="L14" s="54">
        <f>J14/18876</f>
        <v/>
      </c>
      <c r="M14" s="72" t="n">
        <v>3833.5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106138.332</v>
      </c>
      <c r="D15" s="73" t="n">
        <v>0</v>
      </c>
      <c r="E15" s="50">
        <f>IFERROR(SUM(B15-D15)/D15,0)</f>
        <v/>
      </c>
      <c r="F15" s="72" t="n">
        <v>122814.28</v>
      </c>
      <c r="G15" s="391" t="n">
        <v>993</v>
      </c>
      <c r="H15" s="52">
        <f>IFERROR(B15/G15,0)</f>
        <v/>
      </c>
      <c r="I15" s="53" t="n"/>
      <c r="J15" s="54" t="n"/>
      <c r="K15" s="54" t="n"/>
      <c r="L15" s="54">
        <f>J15/15345</f>
        <v/>
      </c>
      <c r="M15" s="72" t="n">
        <v>5314.75</v>
      </c>
      <c r="N15" s="26" t="n"/>
    </row>
    <row r="16" hidden="1" ht="18" customHeight="1" thickBot="1">
      <c r="A16" s="19" t="n"/>
      <c r="B16" s="42" t="n"/>
      <c r="C16" s="43" t="n"/>
      <c r="D16" s="33" t="n">
        <v>0</v>
      </c>
      <c r="E16" s="51" t="n"/>
      <c r="F16" s="32" t="n"/>
      <c r="G16" s="61" t="n"/>
      <c r="H16" s="55" t="n"/>
      <c r="I16" s="56" t="n"/>
      <c r="J16" s="57" t="n"/>
      <c r="K16" s="58" t="n"/>
      <c r="L16" s="58">
        <f>J16/9073</f>
        <v/>
      </c>
      <c r="M16" s="59" t="n"/>
      <c r="N16" s="26" t="n"/>
    </row>
    <row r="17" hidden="1" ht="18" customHeight="1" thickBot="1">
      <c r="A17" s="12" t="n"/>
      <c r="B17" s="18" t="n"/>
      <c r="C17" s="75" t="n"/>
      <c r="D17" s="33" t="n">
        <v>0</v>
      </c>
      <c r="E17" s="50" t="n"/>
      <c r="F17" s="32" t="n"/>
      <c r="G17" s="61" t="n"/>
      <c r="H17" s="52">
        <f>IFERROR(D17/G17,0)</f>
        <v/>
      </c>
      <c r="I17" s="73" t="n"/>
      <c r="J17" s="60" t="n"/>
      <c r="K17" s="54" t="n"/>
      <c r="L17" s="54">
        <f>J17/9249</f>
        <v/>
      </c>
      <c r="M17" s="59" t="n"/>
      <c r="N17" s="22" t="n"/>
    </row>
    <row r="18" ht="17.4" customHeight="1">
      <c r="D18" s="33" t="n">
        <v>0</v>
      </c>
      <c r="F18" s="73" t="n"/>
      <c r="G18" s="74" t="n"/>
      <c r="H18" s="72" t="n"/>
      <c r="I18" s="72" t="n"/>
      <c r="J18" s="72" t="n"/>
      <c r="K18" s="72" t="n"/>
      <c r="L18" s="72" t="n"/>
      <c r="M18" s="72" t="n"/>
    </row>
    <row r="19">
      <c r="F19" s="8" t="n"/>
      <c r="G19" s="36" t="n"/>
      <c r="P19" s="9" t="n">
        <v>1.14</v>
      </c>
    </row>
    <row r="20">
      <c r="F20" s="8" t="n"/>
      <c r="G20" s="36" t="n"/>
    </row>
    <row r="21">
      <c r="F21" s="8" t="n"/>
      <c r="G21" s="36" t="n"/>
    </row>
    <row r="22">
      <c r="F22" s="8" t="n"/>
      <c r="G22" s="36" t="n"/>
    </row>
    <row r="23">
      <c r="F23" s="8" t="n"/>
      <c r="G23" s="36" t="n"/>
    </row>
    <row r="24" ht="15" customHeight="1">
      <c r="F24" s="8" t="n"/>
      <c r="G24" s="36" t="n"/>
      <c r="M24" s="27" t="n"/>
    </row>
    <row r="25">
      <c r="F25" s="8" t="n"/>
      <c r="G25" s="36" t="n"/>
    </row>
    <row r="26">
      <c r="F26" s="8" t="n"/>
      <c r="G26" s="36" t="n"/>
    </row>
    <row r="27">
      <c r="F27" s="8" t="n"/>
      <c r="G27" s="36" t="n"/>
    </row>
    <row r="28">
      <c r="F28" s="8" t="n"/>
      <c r="G28" s="36" t="n"/>
    </row>
    <row r="29">
      <c r="F29" s="8">
        <f>C15*1.14</f>
        <v/>
      </c>
      <c r="G29" s="36" t="n"/>
    </row>
  </sheetData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Q21" sqref="Q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3322466.0232</v>
      </c>
      <c r="D4" s="3" t="n">
        <v>2073497.6298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#REF!+#REF!+'Dec 25 - Dec 31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318601.6596</v>
      </c>
      <c r="D6" s="73" t="n">
        <v>370077.2196</v>
      </c>
      <c r="E6" s="77">
        <f>IFERROR(SUM(B6-D6)/D6,0)</f>
        <v/>
      </c>
      <c r="F6" s="73" t="n">
        <v>268379.66</v>
      </c>
      <c r="G6" s="74" t="n">
        <v>2102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9855.299999999999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469831.3235999999</v>
      </c>
      <c r="D7" s="73" t="n">
        <v>131902.4346</v>
      </c>
      <c r="E7" s="77">
        <f>IFERROR(SUM(B7-D7)/D7,0)</f>
        <v/>
      </c>
      <c r="F7" s="73" t="n">
        <v>247039.76</v>
      </c>
      <c r="G7" s="74" t="n">
        <v>1808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7309.6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106498.0704</v>
      </c>
      <c r="D8" s="73" t="n">
        <v>107724.8244</v>
      </c>
      <c r="E8" s="77">
        <f>IFERROR(SUM(B8-D8)/D8,0)</f>
        <v/>
      </c>
      <c r="F8" s="73" t="n">
        <v>50611.88</v>
      </c>
      <c r="G8" s="74" t="n">
        <v>360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2483.5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369985.6662</v>
      </c>
      <c r="D9" s="73" t="n">
        <v>363439.6494</v>
      </c>
      <c r="E9" s="77">
        <f>IFERROR(SUM(B9-D9)/D9,0)</f>
        <v/>
      </c>
      <c r="F9" s="73" t="n">
        <v>232083.31</v>
      </c>
      <c r="G9" s="74" t="n">
        <v>1829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7288.85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116973.9636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96134.94599999998</v>
      </c>
      <c r="D11" s="73" t="n">
        <v>155076.651</v>
      </c>
      <c r="E11" s="77">
        <f>IFERROR(SUM(B11-D11)/D11,0)</f>
        <v/>
      </c>
      <c r="F11" s="73" t="n">
        <v>100241.89</v>
      </c>
      <c r="G11" s="74" t="n">
        <v>653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3797.5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333290.5938</v>
      </c>
      <c r="D12" s="73" t="n">
        <v>346295.2578</v>
      </c>
      <c r="E12" s="77">
        <f>IFERROR(SUM(B12-D12)/D12,0)</f>
        <v/>
      </c>
      <c r="F12" s="73" t="n">
        <v>243609.74</v>
      </c>
      <c r="G12" s="74" t="n">
        <v>1720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10318.45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146877.2238</v>
      </c>
      <c r="D13" s="73" t="n">
        <v>165704.1528</v>
      </c>
      <c r="E13" s="77">
        <f>IFERROR(SUM(B13-D13)/D13,0)</f>
        <v/>
      </c>
      <c r="F13" s="73" t="n">
        <v>105293.6</v>
      </c>
      <c r="G13" s="74" t="n">
        <v>854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6760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208847.9088</v>
      </c>
      <c r="D14" s="73" t="n">
        <v>185355.3816</v>
      </c>
      <c r="E14" s="77">
        <f>IFERROR(SUM(B14-D14)/D14,0)</f>
        <v/>
      </c>
      <c r="F14" s="73" t="n">
        <v>137786.37</v>
      </c>
      <c r="G14" s="74" t="n">
        <v>923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125407.182</v>
      </c>
      <c r="D15" s="73" t="n">
        <v>130948.095</v>
      </c>
      <c r="E15" s="77">
        <f>IFERROR(SUM(B15-D15)/D15,0)</f>
        <v/>
      </c>
      <c r="F15" s="73" t="n">
        <v>171612.08</v>
      </c>
      <c r="G15" s="74" t="n">
        <v>1138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9918.75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697580.9682</v>
      </c>
      <c r="D18" s="73" t="n">
        <v>0</v>
      </c>
      <c r="E18" s="77">
        <f>IFERROR(SUM(B18-D18)/D18,0)</f>
        <v/>
      </c>
      <c r="F18" s="73" t="n">
        <v>703760.14</v>
      </c>
      <c r="G18" s="74" t="n">
        <v>6286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3250.5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134771.7348</v>
      </c>
      <c r="D19" s="73" t="n">
        <v>0</v>
      </c>
      <c r="E19" s="77">
        <f>IFERROR(SUM(B19-D19)/D19,0)</f>
        <v/>
      </c>
      <c r="F19" s="73" t="n">
        <v>90692.88</v>
      </c>
      <c r="G19" s="74" t="n">
        <v>580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7798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314638.746</v>
      </c>
      <c r="D20" s="71" t="n">
        <v>0</v>
      </c>
      <c r="E20" s="77">
        <f>IFERROR(SUM(B20-D20)/D20,0)</f>
        <v/>
      </c>
      <c r="F20" s="79" t="n">
        <v>154696.75</v>
      </c>
      <c r="G20" s="74" t="n">
        <v>1028</v>
      </c>
      <c r="H20" s="63">
        <f>IFERROR(B20/G20,0)</f>
        <v/>
      </c>
      <c r="I20" s="80" t="n"/>
      <c r="J20" s="80" t="n"/>
      <c r="K20" s="80" t="n"/>
      <c r="L20" s="80" t="n"/>
      <c r="M20" s="73" t="n">
        <v>5955.5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2856621.188399999</v>
      </c>
      <c r="D4" s="3" t="n">
        <v>1560252.45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1 - Jan 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305952.8123999999</v>
      </c>
      <c r="D6" s="73" t="n">
        <v>262785.4812</v>
      </c>
      <c r="E6" s="77">
        <f>IFERROR(SUM(B6-D6)/D6,0)</f>
        <v/>
      </c>
      <c r="F6" s="73" t="n">
        <v>302602.48</v>
      </c>
      <c r="G6" s="74" t="n">
        <v>2370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7828.8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281625.3264</v>
      </c>
      <c r="D7" s="73" t="n">
        <v>134553.8808</v>
      </c>
      <c r="E7" s="77">
        <f>IFERROR(SUM(B7-D7)/D7,0)</f>
        <v/>
      </c>
      <c r="F7" s="73" t="n">
        <v>223690.41</v>
      </c>
      <c r="G7" s="74" t="n">
        <v>1681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5783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57697.54319999999</v>
      </c>
      <c r="D8" s="73" t="n">
        <v>73186.00499999999</v>
      </c>
      <c r="E8" s="77">
        <f>IFERROR(SUM(B8-D8)/D8,0)</f>
        <v/>
      </c>
      <c r="F8" s="73" t="n">
        <v>71553.92</v>
      </c>
      <c r="G8" s="74" t="n">
        <v>500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2893.4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264574.9734</v>
      </c>
      <c r="D9" s="73" t="n">
        <v>262727.6718</v>
      </c>
      <c r="E9" s="77">
        <f>IFERROR(SUM(B9-D9)/D9,0)</f>
        <v/>
      </c>
      <c r="F9" s="73" t="n">
        <v>288149.92</v>
      </c>
      <c r="G9" s="74" t="n">
        <v>2259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8095.25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74739.084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114275.7546</v>
      </c>
      <c r="D11" s="73" t="n">
        <v>127301.5998</v>
      </c>
      <c r="E11" s="77">
        <f>IFERROR(SUM(B11-D11)/D11,0)</f>
        <v/>
      </c>
      <c r="F11" s="73" t="n">
        <v>101768.59</v>
      </c>
      <c r="G11" s="74" t="n">
        <v>723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4435.6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277715.1036</v>
      </c>
      <c r="D12" s="73" t="n">
        <v>228224.637</v>
      </c>
      <c r="E12" s="77">
        <f>IFERROR(SUM(B12-D12)/D12,0)</f>
        <v/>
      </c>
      <c r="F12" s="73" t="n">
        <v>264953.64</v>
      </c>
      <c r="G12" s="74" t="n">
        <v>1834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11245.9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120034.704</v>
      </c>
      <c r="D13" s="73" t="n">
        <v>127170.819</v>
      </c>
      <c r="E13" s="77">
        <f>IFERROR(SUM(B13-D13)/D13,0)</f>
        <v/>
      </c>
      <c r="F13" s="73" t="n">
        <v>116174.02</v>
      </c>
      <c r="G13" s="74" t="n">
        <v>988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12501.5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157076.4618</v>
      </c>
      <c r="D14" s="73" t="n">
        <v>129554.9922</v>
      </c>
      <c r="E14" s="77">
        <f>IFERROR(SUM(B14-D14)/D14,0)</f>
        <v/>
      </c>
      <c r="F14" s="73" t="n">
        <v>163107.4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5584.4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195637.7712</v>
      </c>
      <c r="D15" s="73" t="n">
        <v>140008.2792</v>
      </c>
      <c r="E15" s="77">
        <f>IFERROR(SUM(B15-D15)/D15,0)</f>
        <v/>
      </c>
      <c r="F15" s="73" t="n">
        <v>144198.16</v>
      </c>
      <c r="G15" s="74" t="n">
        <v>1027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11862.9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802286.5595999999</v>
      </c>
      <c r="D18" s="73" t="n">
        <v>0</v>
      </c>
      <c r="E18" s="77">
        <f>IFERROR(SUM(B18-D18)/D18,0)</f>
        <v/>
      </c>
      <c r="F18" s="73" t="n">
        <v>603016.73</v>
      </c>
      <c r="G18" s="74" t="n">
        <v>5150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5477.5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103389.8832</v>
      </c>
      <c r="D19" s="73" t="n">
        <v>0</v>
      </c>
      <c r="E19" s="77">
        <f>IFERROR(SUM(B19-D19)/D19,0)</f>
        <v/>
      </c>
      <c r="F19" s="73" t="n">
        <v>106777.43</v>
      </c>
      <c r="G19" s="74" t="n">
        <v>682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7666.4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176354.295</v>
      </c>
      <c r="D20" s="71" t="n">
        <v>0</v>
      </c>
      <c r="E20" s="77">
        <f>IFERROR(SUM(B20-D20)/D20,0)</f>
        <v/>
      </c>
      <c r="F20" s="79" t="n">
        <v>227188.67</v>
      </c>
      <c r="G20" s="74" t="n">
        <v>1542</v>
      </c>
      <c r="H20" s="63">
        <f>IFERROR(B20/G20,0)</f>
        <v/>
      </c>
      <c r="I20" s="80" t="n"/>
      <c r="J20" s="80" t="n"/>
      <c r="K20" s="80" t="n"/>
      <c r="L20" s="80" t="n"/>
      <c r="M20" s="73" t="n">
        <v>7455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P27" sqref="P27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2979026.7618</v>
      </c>
      <c r="D4" s="3" t="n">
        <v>1856806.0194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8 - Jan 14'!I5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344966.8271999999</v>
      </c>
      <c r="D6" s="73" t="n">
        <v>277591.3338</v>
      </c>
      <c r="E6" s="77">
        <f>IFERROR(SUM(B6-D6)/D6,0)</f>
        <v/>
      </c>
      <c r="F6" s="73" t="n">
        <v>268353.83</v>
      </c>
      <c r="G6" s="74" t="n">
        <v>2150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7605.6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255007.0674</v>
      </c>
      <c r="D7" s="73" t="n">
        <v>178260.2268</v>
      </c>
      <c r="E7" s="77">
        <f>IFERROR(SUM(B7-D7)/D7,0)</f>
        <v/>
      </c>
      <c r="F7" s="73" t="n">
        <v>163075.54</v>
      </c>
      <c r="G7" s="74" t="n">
        <v>1177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5233.8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81571.46879999999</v>
      </c>
      <c r="D8" s="73" t="n">
        <v>106379.4306</v>
      </c>
      <c r="E8" s="77">
        <f>IFERROR(SUM(B8-D8)/D8,0)</f>
        <v/>
      </c>
      <c r="F8" s="73" t="n">
        <v>83089.63</v>
      </c>
      <c r="G8" s="74" t="n">
        <v>630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4235.5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328490.9088</v>
      </c>
      <c r="D9" s="73" t="n">
        <v>279925.5522</v>
      </c>
      <c r="E9" s="77">
        <f>IFERROR(SUM(B9-D9)/D9,0)</f>
        <v/>
      </c>
      <c r="F9" s="73" t="n">
        <v>266913.83</v>
      </c>
      <c r="G9" s="74" t="n">
        <v>2143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11304.65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121140.3102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116016.1926</v>
      </c>
      <c r="D11" s="73" t="n">
        <v>148241.6556</v>
      </c>
      <c r="E11" s="77">
        <f>IFERROR(SUM(B11-D11)/D11,0)</f>
        <v/>
      </c>
      <c r="F11" s="73" t="n">
        <v>117708.7</v>
      </c>
      <c r="G11" s="74" t="n">
        <v>847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5388.45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302047.1496</v>
      </c>
      <c r="D12" s="73" t="n">
        <v>299760.3096</v>
      </c>
      <c r="E12" s="77">
        <f>IFERROR(SUM(B12-D12)/D12,0)</f>
        <v/>
      </c>
      <c r="F12" s="73" t="n">
        <v>294196.37</v>
      </c>
      <c r="G12" s="74" t="n">
        <v>2281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14534.6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132438.3828</v>
      </c>
      <c r="D13" s="73" t="n">
        <v>146501.0808</v>
      </c>
      <c r="E13" s="77">
        <f>IFERROR(SUM(B13-D13)/D13,0)</f>
        <v/>
      </c>
      <c r="F13" s="73" t="n">
        <v>107328.96</v>
      </c>
      <c r="G13" s="74" t="n">
        <v>899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11202.75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185942.436</v>
      </c>
      <c r="D14" s="73" t="n">
        <v>183625.1466</v>
      </c>
      <c r="E14" s="77">
        <f>IFERROR(SUM(B14-D14)/D14,0)</f>
        <v/>
      </c>
      <c r="F14" s="73" t="n">
        <v>203360.97</v>
      </c>
      <c r="G14" s="74" t="n">
        <v>1536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5449.5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164385.9024</v>
      </c>
      <c r="D15" s="73" t="n">
        <v>115380.9732</v>
      </c>
      <c r="E15" s="77">
        <f>IFERROR(SUM(B15-D15)/D15,0)</f>
        <v/>
      </c>
      <c r="F15" s="73" t="n">
        <v>104072.59</v>
      </c>
      <c r="G15" s="74" t="n">
        <v>748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5820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687439.0721999999</v>
      </c>
      <c r="D18" s="73" t="n">
        <v>0</v>
      </c>
      <c r="E18" s="77">
        <f>IFERROR(SUM(B18-D18)/D18,0)</f>
        <v/>
      </c>
      <c r="F18" s="73" t="n">
        <v>343995.82</v>
      </c>
      <c r="G18" s="74" t="n">
        <v>3057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3514.5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121726.2702</v>
      </c>
      <c r="D19" s="73" t="n">
        <v>0</v>
      </c>
      <c r="E19" s="77">
        <f>IFERROR(SUM(B19-D19)/D19,0)</f>
        <v/>
      </c>
      <c r="F19" s="73" t="n">
        <v>119445.84</v>
      </c>
      <c r="G19" s="74" t="n">
        <v>814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7471.65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258995.0838</v>
      </c>
      <c r="D20" s="71" t="n">
        <v>0</v>
      </c>
      <c r="E20" s="77">
        <f>IFERROR(SUM(B20-D20)/D20,0)</f>
        <v/>
      </c>
      <c r="F20" s="79" t="n">
        <v>247141.38</v>
      </c>
      <c r="G20" s="74" t="n">
        <v>1657</v>
      </c>
      <c r="H20" s="63">
        <f>IFERROR(B20/G20,0)</f>
        <v/>
      </c>
      <c r="I20" s="80" t="n"/>
      <c r="J20" s="80" t="n"/>
      <c r="K20" s="80" t="n"/>
      <c r="L20" s="80" t="n"/>
      <c r="M20" s="73" t="n">
        <v>7117.05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M19" sqref="M1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2643299.1444</v>
      </c>
      <c r="D4" s="3" t="n">
        <v>1841285.2842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15 - Jan 21'!I5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305923.3662</v>
      </c>
      <c r="D6" s="73" t="n">
        <v>218358.7464</v>
      </c>
      <c r="E6" s="77">
        <f>IFERROR(SUM(B6-D6)/D6,0)</f>
        <v/>
      </c>
      <c r="F6" s="73" t="n">
        <v>222145.29</v>
      </c>
      <c r="G6" s="74" t="n">
        <v>1747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9116.6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185906.1156</v>
      </c>
      <c r="D7" s="73" t="n">
        <v>180684.0606</v>
      </c>
      <c r="E7" s="77">
        <f>IFERROR(SUM(B7-D7)/D7,0)</f>
        <v/>
      </c>
      <c r="F7" s="73" t="n">
        <v>180800.81</v>
      </c>
      <c r="G7" s="74" t="n">
        <v>1305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5809.5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94722.17819999999</v>
      </c>
      <c r="D8" s="73" t="n">
        <v>111006.4968</v>
      </c>
      <c r="E8" s="77">
        <f>IFERROR(SUM(B8-D8)/D8,0)</f>
        <v/>
      </c>
      <c r="F8" s="73" t="n">
        <v>81768.64999999999</v>
      </c>
      <c r="G8" s="74" t="n">
        <v>600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5900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304281.7662</v>
      </c>
      <c r="D9" s="73" t="n">
        <v>309025.6139999999</v>
      </c>
      <c r="E9" s="77">
        <f>IFERROR(SUM(B9-D9)/D9,0)</f>
        <v/>
      </c>
      <c r="F9" s="73" t="n">
        <v>270052.37</v>
      </c>
      <c r="G9" s="74" t="n">
        <v>2065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8179.1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106564.0536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134187.918</v>
      </c>
      <c r="D11" s="73" t="n">
        <v>150071.8002</v>
      </c>
      <c r="E11" s="77">
        <f>IFERROR(SUM(B11-D11)/D11,0)</f>
        <v/>
      </c>
      <c r="F11" s="73" t="n">
        <v>136676.85</v>
      </c>
      <c r="G11" s="74" t="n">
        <v>973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5295.6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335383.8618</v>
      </c>
      <c r="D12" s="73" t="n">
        <v>320712.2556</v>
      </c>
      <c r="E12" s="77">
        <f>IFERROR(SUM(B12-D12)/D12,0)</f>
        <v/>
      </c>
      <c r="F12" s="73" t="n">
        <v>296711.83</v>
      </c>
      <c r="G12" s="74" t="n">
        <v>2311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16994.3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122355.0144</v>
      </c>
      <c r="D13" s="73" t="n">
        <v>146267.5062</v>
      </c>
      <c r="E13" s="77">
        <f>IFERROR(SUM(B13-D13)/D13,0)</f>
        <v/>
      </c>
      <c r="F13" s="73" t="n">
        <v>120070.42</v>
      </c>
      <c r="G13" s="74" t="n">
        <v>1077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11544.4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231831.5058</v>
      </c>
      <c r="D14" s="73" t="n">
        <v>190827.2562</v>
      </c>
      <c r="E14" s="77">
        <f>IFERROR(SUM(B14-D14)/D14,0)</f>
        <v/>
      </c>
      <c r="F14" s="73" t="n">
        <v>208224.78</v>
      </c>
      <c r="G14" s="74" t="n">
        <v>1512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10082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118642.7526</v>
      </c>
      <c r="D15" s="73" t="n">
        <v>107767.4946</v>
      </c>
      <c r="E15" s="77">
        <f>IFERROR(SUM(B15-D15)/D15,0)</f>
        <v/>
      </c>
      <c r="F15" s="73" t="n">
        <v>89888.45</v>
      </c>
      <c r="G15" s="74" t="n">
        <v>728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8458.25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392155.2348</v>
      </c>
      <c r="D18" s="73" t="n">
        <v>0</v>
      </c>
      <c r="E18" s="77">
        <f>IFERROR(SUM(B18-D18)/D18,0)</f>
        <v/>
      </c>
      <c r="F18" s="73" t="n">
        <v>144528.4</v>
      </c>
      <c r="G18" s="74" t="n">
        <v>1224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3023.5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136168.2576</v>
      </c>
      <c r="D19" s="73" t="n">
        <v>0</v>
      </c>
      <c r="E19" s="77">
        <f>IFERROR(SUM(B19-D19)/D19,0)</f>
        <v/>
      </c>
      <c r="F19" s="73" t="n">
        <v>125337.06</v>
      </c>
      <c r="G19" s="74" t="n">
        <v>809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8029.97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281741.1732</v>
      </c>
      <c r="D20" s="71" t="n">
        <v>0</v>
      </c>
      <c r="E20" s="77">
        <f>IFERROR(SUM(B20-D20)/D20,0)</f>
        <v/>
      </c>
      <c r="F20" s="79" t="n">
        <v>228193.59</v>
      </c>
      <c r="G20" s="74" t="n">
        <v>1548</v>
      </c>
      <c r="H20" s="63">
        <f>IFERROR(B20/G20,0)</f>
        <v/>
      </c>
      <c r="I20" s="80" t="n"/>
      <c r="J20" s="80" t="n"/>
      <c r="K20" s="80" t="n"/>
      <c r="L20" s="80" t="n"/>
      <c r="M20" s="73" t="n">
        <v>12514.25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7" sqref="F7"/>
    </sheetView>
  </sheetViews>
  <sheetFormatPr baseColWidth="8" defaultColWidth="9.33203125" defaultRowHeight="14.4" outlineLevelRow="1"/>
  <cols>
    <col width="19.6640625" bestFit="1" customWidth="1" style="81" min="1" max="1"/>
    <col width="15.6640625" customWidth="1" style="81" min="2" max="4"/>
    <col width="12.6640625" customWidth="1" style="81" min="5" max="5"/>
    <col width="15.6640625" customWidth="1" style="81" min="6" max="6"/>
    <col width="12.5546875" customWidth="1" style="81" min="7" max="7"/>
    <col width="13.44140625" customWidth="1" style="81" min="8" max="8"/>
    <col hidden="1" width="9.6640625" customWidth="1" style="81" min="9" max="9"/>
    <col hidden="1" width="9.33203125" customWidth="1" style="81" min="10" max="10"/>
    <col hidden="1" width="11.5546875" customWidth="1" style="81" min="11" max="11"/>
    <col hidden="1" width="13.33203125" customWidth="1" style="81" min="12" max="12"/>
    <col width="15.6640625" customWidth="1" style="81" min="13" max="13"/>
    <col width="17" customWidth="1" style="9" min="14" max="14"/>
    <col width="9.33203125" customWidth="1" style="9" min="15" max="18"/>
    <col width="9.33203125" customWidth="1" style="81" min="19" max="61"/>
    <col width="9.33203125" customWidth="1" style="81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N2" s="17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2558916.2076</v>
      </c>
      <c r="D4" s="3" t="n">
        <v>1980443.3628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22 - Jan 28'!I5</f>
        <v/>
      </c>
      <c r="K5" s="20" t="n"/>
      <c r="L5" s="28">
        <f>J5/206494</f>
        <v/>
      </c>
      <c r="M5" s="73" t="n"/>
      <c r="N5" s="25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250459.8354</v>
      </c>
      <c r="D6" s="73" t="n">
        <v>255430.2582</v>
      </c>
      <c r="E6" s="77">
        <f>IFERROR(SUM(B6-D6)/D6,0)</f>
        <v/>
      </c>
      <c r="F6" s="73" t="n">
        <v>231853.84</v>
      </c>
      <c r="G6" s="74" t="n">
        <v>1699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10940.6</v>
      </c>
      <c r="N6" s="26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221428.242</v>
      </c>
      <c r="D7" s="73" t="n">
        <v>196385.121</v>
      </c>
      <c r="E7" s="77">
        <f>IFERROR(SUM(B7-D7)/D7,0)</f>
        <v/>
      </c>
      <c r="F7" s="73" t="n">
        <v>187339.38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14170.3</v>
      </c>
      <c r="N7" s="26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117640.5558</v>
      </c>
      <c r="D8" s="73" t="n">
        <v>112277.0724</v>
      </c>
      <c r="E8" s="77">
        <f>IFERROR(SUM(B8-D8)/D8,0)</f>
        <v/>
      </c>
      <c r="F8" s="73" t="n">
        <v>120462.74</v>
      </c>
      <c r="G8" s="74" t="n">
        <v>817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6272</v>
      </c>
      <c r="N8" s="26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358315.9421999999</v>
      </c>
      <c r="D9" s="73" t="n">
        <v>340323.3792</v>
      </c>
      <c r="E9" s="77">
        <f>IFERROR(SUM(B9-D9)/D9,0)</f>
        <v/>
      </c>
      <c r="F9" s="73" t="n">
        <v>313880.02</v>
      </c>
      <c r="G9" s="74" t="n">
        <v>2444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11258.6</v>
      </c>
      <c r="N9" s="26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113101.1556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164641.194</v>
      </c>
      <c r="D11" s="73" t="n">
        <v>162490.071</v>
      </c>
      <c r="E11" s="77">
        <f>IFERROR(SUM(B11-D11)/D11,0)</f>
        <v/>
      </c>
      <c r="F11" s="73" t="n">
        <v>165293.83</v>
      </c>
      <c r="G11" s="74" t="n">
        <v>1142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4778.3</v>
      </c>
      <c r="N11" s="26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374237.2848</v>
      </c>
      <c r="D12" s="73" t="n">
        <v>326614.2407999999</v>
      </c>
      <c r="E12" s="77">
        <f>IFERROR(SUM(B12-D12)/D12,0)</f>
        <v/>
      </c>
      <c r="F12" s="73" t="n">
        <v>315511.51</v>
      </c>
      <c r="G12" s="74" t="n">
        <v>2301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16113.3</v>
      </c>
      <c r="N12" s="26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156808.254</v>
      </c>
      <c r="D13" s="73" t="n">
        <v>142935.1722</v>
      </c>
      <c r="E13" s="77">
        <f>IFERROR(SUM(B13-D13)/D13,0)</f>
        <v/>
      </c>
      <c r="F13" s="73" t="n">
        <v>147369.48</v>
      </c>
      <c r="G13" s="74" t="n">
        <v>1199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10255.5</v>
      </c>
      <c r="N13" s="26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218636.04</v>
      </c>
      <c r="D14" s="73" t="n">
        <v>216676.3686</v>
      </c>
      <c r="E14" s="77">
        <f>IFERROR(SUM(B14-D14)/D14,0)</f>
        <v/>
      </c>
      <c r="F14" s="73" t="n">
        <v>244283.92</v>
      </c>
      <c r="G14" s="74" t="n">
        <v>1716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6439.1</v>
      </c>
      <c r="N14" s="26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91792.29839999999</v>
      </c>
      <c r="D15" s="73" t="n">
        <v>114210.5238</v>
      </c>
      <c r="E15" s="77">
        <f>IFERROR(SUM(B15-D15)/D15,0)</f>
        <v/>
      </c>
      <c r="F15" s="73" t="n">
        <v>82948.17</v>
      </c>
      <c r="G15" s="74" t="n">
        <v>675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5754</v>
      </c>
      <c r="N15" s="26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155666.7606</v>
      </c>
      <c r="D18" s="73" t="n">
        <v>0</v>
      </c>
      <c r="E18" s="77">
        <f>IFERROR(SUM(B18-D18)/D18,0)</f>
        <v/>
      </c>
      <c r="F18" s="73" t="n">
        <v>140544.81</v>
      </c>
      <c r="G18" s="74" t="n">
        <v>1213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3440</v>
      </c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154656.846</v>
      </c>
      <c r="D19" s="73" t="n">
        <v>0</v>
      </c>
      <c r="E19" s="77">
        <f>IFERROR(SUM(B19-D19)/D19,0)</f>
        <v/>
      </c>
      <c r="F19" s="73" t="n">
        <v>118509.43</v>
      </c>
      <c r="G19" s="74" t="n">
        <v>783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6092.1</v>
      </c>
    </row>
    <row r="20" ht="15.6" customHeight="1">
      <c r="A20" s="40" t="inlineStr">
        <is>
          <t>Paulshof</t>
        </is>
      </c>
      <c r="B20" s="18">
        <f>F20*1.14</f>
        <v/>
      </c>
      <c r="C20" s="42" t="n">
        <v>294632.9544</v>
      </c>
      <c r="D20" s="71" t="n">
        <v>0</v>
      </c>
      <c r="E20" s="77">
        <f>IFERROR(SUM(B20-D20)/D20,0)</f>
        <v/>
      </c>
      <c r="F20" s="79" t="n">
        <v>218493.46</v>
      </c>
      <c r="G20" s="74" t="n">
        <v>1488</v>
      </c>
      <c r="H20" s="63">
        <f>IFERROR(B20/G20,0)</f>
        <v/>
      </c>
      <c r="I20" s="80" t="n"/>
      <c r="J20" s="80" t="n"/>
      <c r="K20" s="80" t="n"/>
      <c r="L20" s="80" t="n"/>
      <c r="M20" s="73" t="n">
        <v>11772.37</v>
      </c>
    </row>
    <row r="21">
      <c r="F21" s="83" t="n"/>
      <c r="G21" s="82" t="n"/>
    </row>
    <row r="22">
      <c r="F22" s="83" t="n"/>
      <c r="G22" s="82" t="n"/>
    </row>
    <row r="23">
      <c r="F23" s="83" t="n"/>
      <c r="G23" s="82" t="n"/>
    </row>
    <row r="24" ht="15" customHeight="1">
      <c r="F24" s="83" t="n"/>
      <c r="G24" s="82" t="n"/>
      <c r="M24" s="27" t="n"/>
    </row>
    <row r="25">
      <c r="F25" s="83" t="n"/>
      <c r="G25" s="82" t="n"/>
    </row>
    <row r="26">
      <c r="F26" s="83" t="n"/>
      <c r="G26" s="82" t="n"/>
    </row>
    <row r="27">
      <c r="F27" s="83" t="n"/>
      <c r="G27" s="82" t="n"/>
    </row>
    <row r="28">
      <c r="F28" s="83" t="n"/>
      <c r="G28" s="82" t="n"/>
    </row>
    <row r="29">
      <c r="F29" s="83">
        <f>C15*1.14</f>
        <v/>
      </c>
      <c r="G29" s="82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selection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2399014.29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#REF!+#REF!+'Jan 29 - Feb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253245.6306</v>
      </c>
      <c r="D6" s="73" t="n">
        <v>243951.9288</v>
      </c>
      <c r="E6" s="77">
        <f>IFERROR(SUM(B6-D6)/D6,0)</f>
        <v/>
      </c>
      <c r="F6" s="73" t="n">
        <v>219701.61</v>
      </c>
      <c r="G6" s="74" t="n">
        <v>1634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9719.049999999999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206112.9234</v>
      </c>
      <c r="D7" s="73" t="n">
        <v>189747.6876</v>
      </c>
      <c r="E7" s="77">
        <f>IFERROR(SUM(B7-D7)/D7,0)</f>
        <v/>
      </c>
      <c r="F7" s="73" t="n">
        <v>194235.3</v>
      </c>
      <c r="G7" s="74" t="n">
        <v>1671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5807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93216.26099999998</v>
      </c>
      <c r="D8" s="73" t="n">
        <v>117464.346</v>
      </c>
      <c r="E8" s="77">
        <f>IFERROR(SUM(B8-D8)/D8,0)</f>
        <v/>
      </c>
      <c r="F8" s="73" t="n">
        <v>103193.47</v>
      </c>
      <c r="G8" s="74" t="n">
        <v>716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4622.3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307859.7018</v>
      </c>
      <c r="D9" s="73" t="n">
        <v>314432.0981999999</v>
      </c>
      <c r="E9" s="77">
        <f>IFERROR(SUM(B9-D9)/D9,0)</f>
        <v/>
      </c>
      <c r="F9" s="73" t="n">
        <v>314312.23</v>
      </c>
      <c r="G9" s="74" t="n">
        <v>2419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7757.8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155811.609</v>
      </c>
      <c r="D11" s="73" t="n">
        <v>154265.8374</v>
      </c>
      <c r="E11" s="77">
        <f>IFERROR(SUM(B11-D11)/D11,0)</f>
        <v/>
      </c>
      <c r="F11" s="73" t="n">
        <v>144422.1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4609.05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338251.4862</v>
      </c>
      <c r="D12" s="73" t="n">
        <v>348943.2384</v>
      </c>
      <c r="E12" s="77">
        <f>IFERROR(SUM(B12-D12)/D12,0)</f>
        <v/>
      </c>
      <c r="F12" s="73" t="n">
        <v>328278.32</v>
      </c>
      <c r="G12" s="74" t="n">
        <v>2509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14566.35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136880.2788</v>
      </c>
      <c r="D13" s="73" t="n">
        <v>158301.1182</v>
      </c>
      <c r="E13" s="77">
        <f>IFERROR(SUM(B13-D13)/D13,0)</f>
        <v/>
      </c>
      <c r="F13" s="73" t="n">
        <v>137551.1</v>
      </c>
      <c r="G13" s="74" t="n">
        <v>1141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9902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237376.2492</v>
      </c>
      <c r="D14" s="73" t="n">
        <v>218844.2724</v>
      </c>
      <c r="E14" s="77">
        <f>IFERROR(SUM(B14-D14)/D14,0)</f>
        <v/>
      </c>
      <c r="F14" s="73" t="n">
        <v>191786</v>
      </c>
      <c r="G14" s="74" t="n">
        <v>1490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5514.7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102472.833</v>
      </c>
      <c r="D15" s="73" t="n">
        <v>99077.57099999998</v>
      </c>
      <c r="E15" s="77">
        <f>IFERROR(SUM(B15-D15)/D15,0)</f>
        <v/>
      </c>
      <c r="F15" s="73" t="n">
        <v>80519.56</v>
      </c>
      <c r="G15" s="74" t="n">
        <v>649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6134.75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164762.376</v>
      </c>
      <c r="D18" s="73" t="n">
        <v>0</v>
      </c>
      <c r="E18" s="77">
        <f>IFERROR(SUM(B18-D18)/D18,0)</f>
        <v/>
      </c>
      <c r="F18" s="73" t="n">
        <v>136549.79</v>
      </c>
      <c r="G18" s="74" t="n">
        <v>1171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2496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142884.2484</v>
      </c>
      <c r="D19" s="73" t="n">
        <v>0</v>
      </c>
      <c r="E19" s="77">
        <f>IFERROR(SUM(B19-D19)/D19,0)</f>
        <v/>
      </c>
      <c r="F19" s="73" t="n">
        <v>135663.9</v>
      </c>
      <c r="G19" s="74" t="n">
        <v>882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5790.65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260140.6926</v>
      </c>
      <c r="D20" s="71" t="n">
        <v>0</v>
      </c>
      <c r="E20" s="77">
        <f>IFERROR(SUM(B20-D20)/D20,0)</f>
        <v/>
      </c>
      <c r="F20" s="79" t="n">
        <v>258449.96</v>
      </c>
      <c r="G20" s="74" t="n">
        <v>1884</v>
      </c>
      <c r="H20" s="63">
        <f>IFERROR(B20/G20,0)</f>
        <v/>
      </c>
      <c r="I20" s="80" t="n"/>
      <c r="J20" s="80" t="n"/>
      <c r="K20" s="80" t="n"/>
      <c r="L20" s="80" t="n"/>
      <c r="M20" s="73" t="n">
        <v>12779.1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2606599.2726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5 - Feb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264313.3775999999</v>
      </c>
      <c r="D6" s="73" t="n">
        <v>274609.584</v>
      </c>
      <c r="E6" s="77">
        <f>IFERROR(SUM(B6-D6)/D6,0)</f>
        <v/>
      </c>
      <c r="F6" s="73" t="n">
        <v>208861.48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6939.5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213566.8932</v>
      </c>
      <c r="D7" s="73" t="n">
        <v>194885.28</v>
      </c>
      <c r="E7" s="77">
        <f>IFERROR(SUM(B7-D7)/D7,0)</f>
        <v/>
      </c>
      <c r="F7" s="73" t="n">
        <v>172993.67</v>
      </c>
      <c r="G7" s="74" t="n">
        <v>1255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5536.4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137327.5236</v>
      </c>
      <c r="D8" s="73" t="n">
        <v>105552.3264</v>
      </c>
      <c r="E8" s="77">
        <f>IFERROR(SUM(B8-D8)/D8,0)</f>
        <v/>
      </c>
      <c r="F8" s="73" t="n">
        <v>103906.07</v>
      </c>
      <c r="G8" s="74" t="n">
        <v>774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4581.9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357823.2228</v>
      </c>
      <c r="D9" s="73" t="n">
        <v>303057.4289999999</v>
      </c>
      <c r="E9" s="77">
        <f>IFERROR(SUM(B9-D9)/D9,0)</f>
        <v/>
      </c>
      <c r="F9" s="73" t="n">
        <v>312117.29</v>
      </c>
      <c r="G9" s="74" t="n">
        <v>2360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10329.9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188434.9662</v>
      </c>
      <c r="D11" s="73" t="n">
        <v>189023.8446</v>
      </c>
      <c r="E11" s="77">
        <f>IFERROR(SUM(B11-D11)/D11,0)</f>
        <v/>
      </c>
      <c r="F11" s="73" t="n">
        <v>142486.9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6357.55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359683.1214</v>
      </c>
      <c r="D12" s="73" t="n">
        <v>328229.9399999999</v>
      </c>
      <c r="E12" s="77">
        <f>IFERROR(SUM(B12-D12)/D12,0)</f>
        <v/>
      </c>
      <c r="F12" s="73" t="n">
        <v>300830.8</v>
      </c>
      <c r="G12" s="74" t="n">
        <v>2248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14330.7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168001.2072</v>
      </c>
      <c r="D13" s="73" t="n">
        <v>151888.8462</v>
      </c>
      <c r="E13" s="77">
        <f>IFERROR(SUM(B13-D13)/D13,0)</f>
        <v/>
      </c>
      <c r="F13" s="73" t="n">
        <v>123636.69</v>
      </c>
      <c r="G13" s="74" t="n">
        <v>1080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10927.75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278483.6688</v>
      </c>
      <c r="D14" s="73" t="n">
        <v>199726.632</v>
      </c>
      <c r="E14" s="77">
        <f>IFERROR(SUM(B14-D14)/D14,0)</f>
        <v/>
      </c>
      <c r="F14" s="73" t="n">
        <v>183248.35</v>
      </c>
      <c r="G14" s="74" t="n">
        <v>1389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6572.4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94560.91379999999</v>
      </c>
      <c r="D15" s="73" t="n">
        <v>126883.0944</v>
      </c>
      <c r="E15" s="77">
        <f>IFERROR(SUM(B15-D15)/D15,0)</f>
        <v/>
      </c>
      <c r="F15" s="73" t="n">
        <v>76997.09</v>
      </c>
      <c r="G15" s="74" t="n">
        <v>581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3875.4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160221.0834</v>
      </c>
      <c r="D18" s="73" t="n">
        <v>0</v>
      </c>
      <c r="E18" s="77">
        <f>IFERROR(SUM(B18-D18)/D18,0)</f>
        <v/>
      </c>
      <c r="F18" s="73" t="n">
        <v>162923</v>
      </c>
      <c r="G18" s="74" t="n">
        <v>1411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3184.2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135100.7502</v>
      </c>
      <c r="D19" s="73" t="n">
        <v>0</v>
      </c>
      <c r="E19" s="77">
        <f>IFERROR(SUM(B19-D19)/D19,0)</f>
        <v/>
      </c>
      <c r="F19" s="73" t="n">
        <v>151395.2</v>
      </c>
      <c r="G19" s="74" t="n">
        <v>917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7929.15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249082.5444</v>
      </c>
      <c r="D20" s="71" t="n">
        <v>0</v>
      </c>
      <c r="E20" s="77">
        <f>IFERROR(SUM(B20-D20)/D20,0)</f>
        <v/>
      </c>
      <c r="F20" s="79" t="n">
        <v>216976.01</v>
      </c>
      <c r="G20" s="74" t="n">
        <v>1606</v>
      </c>
      <c r="H20" s="63">
        <f>IFERROR(B20/G20,0)</f>
        <v/>
      </c>
      <c r="I20" s="80" t="n"/>
      <c r="J20" s="80" t="n"/>
      <c r="K20" s="80" t="n"/>
      <c r="L20" s="80" t="n"/>
      <c r="M20" s="73" t="n">
        <v>14316.25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2458264.707</v>
      </c>
      <c r="D4" s="3" t="n">
        <v>1873856.9766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12 - Feb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238102.0872</v>
      </c>
      <c r="D6" s="73" t="n">
        <v>260122.1448</v>
      </c>
      <c r="E6" s="77">
        <f>IFERROR(SUM(B6-D6)/D6,0)</f>
        <v/>
      </c>
      <c r="F6" s="73" t="n">
        <v>242378.9</v>
      </c>
      <c r="G6" s="74" t="n">
        <v>1767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10328.15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197212.7838</v>
      </c>
      <c r="D7" s="73" t="n">
        <v>175341.3024</v>
      </c>
      <c r="E7" s="77">
        <f>IFERROR(SUM(B7-D7)/D7,0)</f>
        <v/>
      </c>
      <c r="F7" s="73" t="n">
        <v>207545</v>
      </c>
      <c r="G7" s="74" t="n">
        <v>1505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8225.5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118452.9198</v>
      </c>
      <c r="D8" s="73" t="n">
        <v>118462.929</v>
      </c>
      <c r="E8" s="77">
        <f>IFERROR(SUM(B8-D8)/D8,0)</f>
        <v/>
      </c>
      <c r="F8" s="73" t="n">
        <v>114390.05</v>
      </c>
      <c r="G8" s="74" t="n">
        <v>853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6313.3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355813.7105999999</v>
      </c>
      <c r="D9" s="73" t="n">
        <v>341588.7905999999</v>
      </c>
      <c r="E9" s="77">
        <f>IFERROR(SUM(B9-D9)/D9,0)</f>
        <v/>
      </c>
      <c r="F9" s="73" t="n">
        <v>324147.25</v>
      </c>
      <c r="G9" s="74" t="n">
        <v>2536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14097.8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162435.066</v>
      </c>
      <c r="D11" s="73" t="n">
        <v>204963.0282</v>
      </c>
      <c r="E11" s="77">
        <f>IFERROR(SUM(B11-D11)/D11,0)</f>
        <v/>
      </c>
      <c r="F11" s="73" t="n">
        <v>180292.29</v>
      </c>
      <c r="G11" s="74" t="n">
        <v>1168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7798.6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342947.112</v>
      </c>
      <c r="D12" s="73" t="n">
        <v>327136.7255999999</v>
      </c>
      <c r="E12" s="77">
        <f>IFERROR(SUM(B12-D12)/D12,0)</f>
        <v/>
      </c>
      <c r="F12" s="73" t="n">
        <v>295932.86</v>
      </c>
      <c r="G12" s="74" t="n">
        <v>2215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16221.6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140945.8266</v>
      </c>
      <c r="D13" s="73" t="n">
        <v>153294.6144</v>
      </c>
      <c r="E13" s="77">
        <f>IFERROR(SUM(B13-D13)/D13,0)</f>
        <v/>
      </c>
      <c r="F13" s="73" t="n">
        <v>129246.81</v>
      </c>
      <c r="G13" s="74" t="n">
        <v>1502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11693.25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208903.119</v>
      </c>
      <c r="D14" s="73" t="n">
        <v>227554.0662</v>
      </c>
      <c r="E14" s="77">
        <f>IFERROR(SUM(B14-D14)/D14,0)</f>
        <v/>
      </c>
      <c r="F14" s="73" t="n">
        <v>218657.19</v>
      </c>
      <c r="G14" s="74" t="n">
        <v>1612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5809.2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87776.68259999999</v>
      </c>
      <c r="D15" s="73" t="n">
        <v>138458.1528</v>
      </c>
      <c r="E15" s="77">
        <f>IFERROR(SUM(B15-D15)/D15,0)</f>
        <v/>
      </c>
      <c r="F15" s="73" t="n">
        <v>117903.36</v>
      </c>
      <c r="G15" s="74" t="n">
        <v>814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4957.5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185732.22</v>
      </c>
      <c r="D18" s="73" t="n">
        <v>0</v>
      </c>
      <c r="E18" s="77">
        <f>IFERROR(SUM(B18-D18)/D18,0)</f>
        <v/>
      </c>
      <c r="F18" s="73" t="n">
        <v>159684.51</v>
      </c>
      <c r="G18" s="74" t="n">
        <v>1335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3533.5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172590.528</v>
      </c>
      <c r="D19" s="73" t="n">
        <v>0</v>
      </c>
      <c r="E19" s="77">
        <f>IFERROR(SUM(B19-D19)/D19,0)</f>
        <v/>
      </c>
      <c r="F19" s="73" t="n">
        <v>142406.29</v>
      </c>
      <c r="G19" s="74" t="n">
        <v>915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7938.9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247352.6514</v>
      </c>
      <c r="D20" s="71" t="n">
        <v>0</v>
      </c>
      <c r="E20" s="77">
        <f>IFERROR(SUM(B20-D20)/D20,0)</f>
        <v/>
      </c>
      <c r="F20" s="79" t="n">
        <v>221532.48</v>
      </c>
      <c r="G20" s="74" t="n">
        <v>1474</v>
      </c>
      <c r="H20" s="63">
        <f>IFERROR(B20/G20,0)</f>
        <v/>
      </c>
      <c r="I20" s="80" t="n"/>
      <c r="J20" s="80" t="n"/>
      <c r="K20" s="80" t="n"/>
      <c r="L20" s="80" t="n"/>
      <c r="M20" s="73" t="n">
        <v>15179.55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2683693.368599999</v>
      </c>
      <c r="D4" s="3" t="n">
        <v>1838805.0318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19 - Feb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276311.946</v>
      </c>
      <c r="D6" s="73" t="n">
        <v>259839.972</v>
      </c>
      <c r="E6" s="77">
        <f>IFERROR(SUM(B6-D6)/D6,0)</f>
        <v/>
      </c>
      <c r="F6" s="73" t="n">
        <v>234617.82</v>
      </c>
      <c r="G6" s="74" t="n">
        <v>1759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8798.85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236601.3</v>
      </c>
      <c r="D7" s="73" t="n">
        <v>193657.386</v>
      </c>
      <c r="E7" s="77">
        <f>IFERROR(SUM(B7-D7)/D7,0)</f>
        <v/>
      </c>
      <c r="F7" s="73" t="n">
        <v>196295.06</v>
      </c>
      <c r="G7" s="74" t="n">
        <v>1204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6474.7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130404.657</v>
      </c>
      <c r="D8" s="73" t="n">
        <v>103002.5112</v>
      </c>
      <c r="E8" s="77">
        <f>IFERROR(SUM(B8-D8)/D8,0)</f>
        <v/>
      </c>
      <c r="F8" s="73" t="n">
        <v>106518.63</v>
      </c>
      <c r="G8" s="74" t="n">
        <v>812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2989.2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369527.865</v>
      </c>
      <c r="D9" s="73" t="n">
        <v>324940.242</v>
      </c>
      <c r="E9" s="77">
        <f>IFERROR(SUM(B9-D9)/D9,0)</f>
        <v/>
      </c>
      <c r="F9" s="73" t="n">
        <v>362222.69</v>
      </c>
      <c r="G9" s="74" t="n">
        <v>2724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8424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205533.2106</v>
      </c>
      <c r="D11" s="73" t="n">
        <v>166134.6282</v>
      </c>
      <c r="E11" s="77">
        <f>IFERROR(SUM(B11-D11)/D11,0)</f>
        <v/>
      </c>
      <c r="F11" s="73" t="n">
        <v>141629.58</v>
      </c>
      <c r="G11" s="74" t="n">
        <v>950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7070.65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337363.4604</v>
      </c>
      <c r="D12" s="73" t="n">
        <v>328236.324</v>
      </c>
      <c r="E12" s="77">
        <f>IFERROR(SUM(B12-D12)/D12,0)</f>
        <v/>
      </c>
      <c r="F12" s="73" t="n">
        <v>301960.55</v>
      </c>
      <c r="G12" s="74" t="n">
        <v>2195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14047.6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147341.3634</v>
      </c>
      <c r="D13" s="73" t="n">
        <v>158152.7244</v>
      </c>
      <c r="E13" s="77">
        <f>IFERROR(SUM(B13-D13)/D13,0)</f>
        <v/>
      </c>
      <c r="F13" s="73" t="n">
        <v>116587.85</v>
      </c>
      <c r="G13" s="74" t="n">
        <v>1025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7284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249269.1966</v>
      </c>
      <c r="D14" s="73" t="n">
        <v>190772.1828</v>
      </c>
      <c r="E14" s="77">
        <f>IFERROR(SUM(B14-D14)/D14,0)</f>
        <v/>
      </c>
      <c r="F14" s="73" t="n">
        <v>196761.76</v>
      </c>
      <c r="G14" s="74" t="n">
        <v>1558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6105.2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134409.8304</v>
      </c>
      <c r="D15" s="73" t="n">
        <v>114069.0612</v>
      </c>
      <c r="E15" s="77">
        <f>IFERROR(SUM(B15-D15)/D15,0)</f>
        <v/>
      </c>
      <c r="F15" s="73" t="n">
        <v>76896.91</v>
      </c>
      <c r="G15" s="74" t="n">
        <v>584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6207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182040.3414</v>
      </c>
      <c r="D18" s="73" t="n">
        <v>0</v>
      </c>
      <c r="E18" s="77">
        <f>IFERROR(SUM(B18-D18)/D18,0)</f>
        <v/>
      </c>
      <c r="F18" s="73" t="n">
        <v>150054.22</v>
      </c>
      <c r="G18" s="74" t="n">
        <v>1305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3634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162343.1706</v>
      </c>
      <c r="D19" s="73" t="n">
        <v>0</v>
      </c>
      <c r="E19" s="77">
        <f>IFERROR(SUM(B19-D19)/D19,0)</f>
        <v/>
      </c>
      <c r="F19" s="73" t="n">
        <v>182551.64</v>
      </c>
      <c r="G19" s="74" t="n">
        <v>1224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7683.4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252547.0272</v>
      </c>
      <c r="D20" s="71" t="n">
        <v>0</v>
      </c>
      <c r="E20" s="77">
        <f>IFERROR(SUM(B20-D20)/D20,0)</f>
        <v/>
      </c>
      <c r="F20" s="79" t="n">
        <v>250911.11</v>
      </c>
      <c r="G20" s="74" t="n">
        <v>1494</v>
      </c>
      <c r="H20" s="63">
        <f>IFERROR(B20/G20,0)</f>
        <v/>
      </c>
      <c r="I20" s="80" t="n"/>
      <c r="J20" s="80" t="n"/>
      <c r="K20" s="80" t="n"/>
      <c r="L20" s="80" t="n"/>
      <c r="M20" s="73" t="n">
        <v>14799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2641388.914799999</v>
      </c>
      <c r="D4" s="3" t="n">
        <v>1849316.151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#REF!+#REF!+'Feb 26 - Mar 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267464.3148</v>
      </c>
      <c r="D6" s="73" t="n">
        <v>250866.6786</v>
      </c>
      <c r="E6" s="77">
        <f>IFERROR(SUM(B6-D6)/D6,0)</f>
        <v/>
      </c>
      <c r="F6" s="73" t="n">
        <v>249192.95</v>
      </c>
      <c r="G6" s="74" t="n">
        <v>1818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9128.4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223776.3684</v>
      </c>
      <c r="D7" s="73" t="n">
        <v>188660.7774</v>
      </c>
      <c r="E7" s="77">
        <f>IFERROR(SUM(B7-D7)/D7,0)</f>
        <v/>
      </c>
      <c r="F7" s="73" t="n">
        <v>207663.59</v>
      </c>
      <c r="G7" s="74" t="n">
        <v>1493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5932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121431.2382</v>
      </c>
      <c r="D8" s="73" t="n">
        <v>127092.6264</v>
      </c>
      <c r="E8" s="77">
        <f>IFERROR(SUM(B8-D8)/D8,0)</f>
        <v/>
      </c>
      <c r="F8" s="73" t="n">
        <v>106257.8</v>
      </c>
      <c r="G8" s="74" t="n">
        <v>801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5350.4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412933.8666</v>
      </c>
      <c r="D9" s="73" t="n">
        <v>343264.1801999999</v>
      </c>
      <c r="E9" s="77">
        <f>IFERROR(SUM(B9-D9)/D9,0)</f>
        <v/>
      </c>
      <c r="F9" s="73" t="n">
        <v>362249.26</v>
      </c>
      <c r="G9" s="74" t="n">
        <v>2797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10443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161457.7212</v>
      </c>
      <c r="D11" s="73" t="n">
        <v>174733.1352</v>
      </c>
      <c r="E11" s="77">
        <f>IFERROR(SUM(B11-D11)/D11,0)</f>
        <v/>
      </c>
      <c r="F11" s="73" t="n">
        <v>152808.71</v>
      </c>
      <c r="G11" s="74" t="n">
        <v>1040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6491.75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344235.0269999999</v>
      </c>
      <c r="D12" s="73" t="n">
        <v>343316.7</v>
      </c>
      <c r="E12" s="77">
        <f>IFERROR(SUM(B12-D12)/D12,0)</f>
        <v/>
      </c>
      <c r="F12" s="73" t="n">
        <v>318588.43</v>
      </c>
      <c r="G12" s="74" t="n">
        <v>2280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17273.5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132910.149</v>
      </c>
      <c r="D13" s="73" t="n">
        <v>149180.7192</v>
      </c>
      <c r="E13" s="77">
        <f>IFERROR(SUM(B13-D13)/D13,0)</f>
        <v/>
      </c>
      <c r="F13" s="73" t="n">
        <v>132072.93</v>
      </c>
      <c r="G13" s="74" t="n">
        <v>1129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10251.4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224308.4064</v>
      </c>
      <c r="D14" s="73" t="n">
        <v>182243.7972</v>
      </c>
      <c r="E14" s="77">
        <f>IFERROR(SUM(B14-D14)/D14,0)</f>
        <v/>
      </c>
      <c r="F14" s="73" t="n">
        <v>222558.66</v>
      </c>
      <c r="G14" s="74" t="n">
        <v>1655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7191.25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87662.4774</v>
      </c>
      <c r="D15" s="73" t="n">
        <v>89957.53679999999</v>
      </c>
      <c r="E15" s="77">
        <f>IFERROR(SUM(B15-D15)/D15,0)</f>
        <v/>
      </c>
      <c r="F15" s="73" t="n">
        <v>94394.88</v>
      </c>
      <c r="G15" s="74" t="n">
        <v>657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8674.75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171061.8108</v>
      </c>
      <c r="D18" s="73" t="n">
        <v>0</v>
      </c>
      <c r="E18" s="77">
        <f>IFERROR(SUM(B18-D18)/D18,0)</f>
        <v/>
      </c>
      <c r="F18" s="73" t="n">
        <v>134408.08</v>
      </c>
      <c r="G18" s="74" t="n">
        <v>1188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3760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208108.8696</v>
      </c>
      <c r="D19" s="73" t="n">
        <v>0</v>
      </c>
      <c r="E19" s="77">
        <f>IFERROR(SUM(B19-D19)/D19,0)</f>
        <v/>
      </c>
      <c r="F19" s="73" t="n">
        <v>127687.22</v>
      </c>
      <c r="G19" s="74" t="n">
        <v>838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7647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286038.6653999999</v>
      </c>
      <c r="D20" s="71" t="n">
        <v>0</v>
      </c>
      <c r="E20" s="77">
        <f>IFERROR(SUM(B20-D20)/D20,0)</f>
        <v/>
      </c>
      <c r="F20" s="79" t="n">
        <v>220842.84</v>
      </c>
      <c r="G20" s="74" t="n">
        <v>1662</v>
      </c>
      <c r="H20" s="63">
        <f>IFERROR(B20/G20,0)</f>
        <v/>
      </c>
      <c r="I20" s="80" t="n"/>
      <c r="J20" s="80" t="n"/>
      <c r="K20" s="80" t="n"/>
      <c r="L20" s="80" t="n"/>
      <c r="M20" s="73" t="n">
        <v>12249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2654746.899</v>
      </c>
      <c r="D4" s="3" t="n">
        <v>1634898.7608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5 - Mar 11'!I5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284079.963</v>
      </c>
      <c r="D6" s="73" t="n">
        <v>226151.7522</v>
      </c>
      <c r="E6" s="77">
        <f>IFERROR(SUM(B6-D6)/D6,0)</f>
        <v/>
      </c>
      <c r="F6" s="73" t="n">
        <v>222516.75</v>
      </c>
      <c r="G6" s="74" t="n">
        <v>1558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9074.15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236736.4926</v>
      </c>
      <c r="D7" s="73" t="n">
        <v>168726.213</v>
      </c>
      <c r="E7" s="77">
        <f>IFERROR(SUM(B7-D7)/D7,0)</f>
        <v/>
      </c>
      <c r="F7" s="73" t="n">
        <v>176573.9</v>
      </c>
      <c r="G7" s="74" t="n">
        <v>1232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5586.5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121133.892</v>
      </c>
      <c r="D8" s="73" t="n">
        <v>113762.2758</v>
      </c>
      <c r="E8" s="77">
        <f>IFERROR(SUM(B8-D8)/D8,0)</f>
        <v/>
      </c>
      <c r="F8" s="73" t="n">
        <v>98720.22</v>
      </c>
      <c r="G8" s="74" t="n">
        <v>704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4429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412964.1564</v>
      </c>
      <c r="D9" s="73" t="n">
        <v>274721.1102</v>
      </c>
      <c r="E9" s="77">
        <f>IFERROR(SUM(B9-D9)/D9,0)</f>
        <v/>
      </c>
      <c r="F9" s="73" t="n">
        <v>327754.26</v>
      </c>
      <c r="G9" s="74" t="n">
        <v>2430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9750.5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174201.9294</v>
      </c>
      <c r="D11" s="73" t="n">
        <v>144546.2772</v>
      </c>
      <c r="E11" s="77">
        <f>IFERROR(SUM(B11-D11)/D11,0)</f>
        <v/>
      </c>
      <c r="F11" s="73" t="n">
        <v>146985.57</v>
      </c>
      <c r="G11" s="74" t="n">
        <v>1001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6314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363190.8101999999</v>
      </c>
      <c r="D12" s="73" t="n">
        <v>279323.8259999999</v>
      </c>
      <c r="E12" s="77">
        <f>IFERROR(SUM(B12-D12)/D12,0)</f>
        <v/>
      </c>
      <c r="F12" s="73" t="n">
        <v>314568.71</v>
      </c>
      <c r="G12" s="74" t="n">
        <v>2137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13182.3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150563.1402</v>
      </c>
      <c r="D13" s="73" t="n">
        <v>149269.3656</v>
      </c>
      <c r="E13" s="77">
        <f>IFERROR(SUM(B13-D13)/D13,0)</f>
        <v/>
      </c>
      <c r="F13" s="73" t="n">
        <v>144748.49</v>
      </c>
      <c r="G13" s="74" t="n">
        <v>1197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9355.9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253716.8724</v>
      </c>
      <c r="D14" s="73" t="n">
        <v>179858.085</v>
      </c>
      <c r="E14" s="77">
        <f>IFERROR(SUM(B14-D14)/D14,0)</f>
        <v/>
      </c>
      <c r="F14" s="73" t="n">
        <v>209138.95</v>
      </c>
      <c r="G14" s="74" t="n">
        <v>1663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5779.04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107610.1632</v>
      </c>
      <c r="D15" s="73" t="n">
        <v>98539.85579999999</v>
      </c>
      <c r="E15" s="77">
        <f>IFERROR(SUM(B15-D15)/D15,0)</f>
        <v/>
      </c>
      <c r="F15" s="73" t="n">
        <v>74134</v>
      </c>
      <c r="G15" s="74" t="n">
        <v>507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6224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153225.2112</v>
      </c>
      <c r="D18" s="73" t="n">
        <v>0</v>
      </c>
      <c r="E18" s="77">
        <f>IFERROR(SUM(B18-D18)/D18,0)</f>
        <v/>
      </c>
      <c r="F18" s="73" t="n">
        <v>133439.17</v>
      </c>
      <c r="G18" s="74" t="n">
        <v>1138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3578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145563.4308</v>
      </c>
      <c r="D19" s="73" t="n">
        <v>0</v>
      </c>
      <c r="E19" s="77">
        <f>IFERROR(SUM(B19-D19)/D19,0)</f>
        <v/>
      </c>
      <c r="F19" s="73" t="n">
        <v>134873.74</v>
      </c>
      <c r="G19" s="74" t="n">
        <v>909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7316.7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251760.8376</v>
      </c>
      <c r="D20" s="71" t="n">
        <v>0</v>
      </c>
      <c r="E20" s="77">
        <f>IFERROR(SUM(B20-D20)/D20,0)</f>
        <v/>
      </c>
      <c r="F20" s="79" t="n">
        <v>218676.17</v>
      </c>
      <c r="G20" s="74" t="n">
        <v>1277</v>
      </c>
      <c r="H20" s="63">
        <f>IFERROR(B20/G20,0)</f>
        <v/>
      </c>
      <c r="I20" s="80" t="n"/>
      <c r="J20" s="80" t="n"/>
      <c r="K20" s="80" t="n"/>
      <c r="L20" s="80" t="n"/>
      <c r="M20" s="73" t="n">
        <v>10545.63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2510428.1202</v>
      </c>
      <c r="D4" s="3" t="n">
        <v>1961619.6942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12 - Mar 18'!I5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253669.095</v>
      </c>
      <c r="D6" s="73" t="n">
        <v>243951.9288</v>
      </c>
      <c r="E6" s="77">
        <f>IFERROR(SUM(B6-D6)/D6,0)</f>
        <v/>
      </c>
      <c r="F6" s="73" t="n">
        <v>215211.27</v>
      </c>
      <c r="G6" s="74" t="n">
        <v>1513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7682.58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201294.246</v>
      </c>
      <c r="D7" s="73" t="n">
        <v>189747.6876</v>
      </c>
      <c r="E7" s="77">
        <f>IFERROR(SUM(B7-D7)/D7,0)</f>
        <v/>
      </c>
      <c r="F7" s="73" t="n">
        <v>163238.9</v>
      </c>
      <c r="G7" s="74" t="n">
        <v>1186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6596.5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112541.0508</v>
      </c>
      <c r="D8" s="73" t="n">
        <v>117464.346</v>
      </c>
      <c r="E8" s="77">
        <f>IFERROR(SUM(B8-D8)/D8,0)</f>
        <v/>
      </c>
      <c r="F8" s="73" t="n">
        <v>92237.47</v>
      </c>
      <c r="G8" s="74" t="n">
        <v>646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2825.5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373639.8564</v>
      </c>
      <c r="D9" s="73" t="n">
        <v>314432.0981999999</v>
      </c>
      <c r="E9" s="77">
        <f>IFERROR(SUM(B9-D9)/D9,0)</f>
        <v/>
      </c>
      <c r="F9" s="73" t="n">
        <v>322540</v>
      </c>
      <c r="G9" s="74" t="n">
        <v>2383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914.25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116591.5962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167563.5498</v>
      </c>
      <c r="D11" s="73" t="n">
        <v>154265.8374</v>
      </c>
      <c r="E11" s="77">
        <f>IFERROR(SUM(B11-D11)/D11,0)</f>
        <v/>
      </c>
      <c r="F11" s="73" t="n">
        <v>146854.8</v>
      </c>
      <c r="G11" s="74" t="n">
        <v>1025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5497.9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358608.3294</v>
      </c>
      <c r="D12" s="73" t="n">
        <v>348943.2384</v>
      </c>
      <c r="E12" s="77">
        <f>IFERROR(SUM(B12-D12)/D12,0)</f>
        <v/>
      </c>
      <c r="F12" s="73" t="n">
        <v>329307.73</v>
      </c>
      <c r="G12" s="74" t="n">
        <v>2251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13765.6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165013.2786</v>
      </c>
      <c r="D13" s="73" t="n">
        <v>158301.1182</v>
      </c>
      <c r="E13" s="77">
        <f>IFERROR(SUM(B13-D13)/D13,0)</f>
        <v/>
      </c>
      <c r="F13" s="73" t="n">
        <v>112539.35</v>
      </c>
      <c r="G13" s="74" t="n">
        <v>970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10541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238418.403</v>
      </c>
      <c r="D14" s="73" t="n">
        <v>218844.2724</v>
      </c>
      <c r="E14" s="77">
        <f>IFERROR(SUM(B14-D14)/D14,0)</f>
        <v/>
      </c>
      <c r="F14" s="73" t="n">
        <v>207590.85</v>
      </c>
      <c r="G14" s="74" t="n">
        <v>1623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5776.2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84512.75999999999</v>
      </c>
      <c r="D15" s="73" t="n">
        <v>99077.57099999998</v>
      </c>
      <c r="E15" s="77">
        <f>IFERROR(SUM(B15-D15)/D15,0)</f>
        <v/>
      </c>
      <c r="F15" s="73" t="n">
        <v>76807.19</v>
      </c>
      <c r="G15" s="74" t="n">
        <v>633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4959.75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152120.6538</v>
      </c>
      <c r="D18" s="73" t="n">
        <v>0</v>
      </c>
      <c r="E18" s="77">
        <f>IFERROR(SUM(B18-D18)/D18,0)</f>
        <v/>
      </c>
      <c r="F18" s="73" t="n">
        <v>141484.38</v>
      </c>
      <c r="G18" s="74" t="n">
        <v>1208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2391.5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153756.0636</v>
      </c>
      <c r="D19" s="73" t="n">
        <v>0</v>
      </c>
      <c r="E19" s="77">
        <f>IFERROR(SUM(B19-D19)/D19,0)</f>
        <v/>
      </c>
      <c r="F19" s="73" t="n">
        <v>125999.04</v>
      </c>
      <c r="G19" s="74" t="n">
        <v>832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5941.6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249290.8338</v>
      </c>
      <c r="D20" s="71" t="n">
        <v>0</v>
      </c>
      <c r="E20" s="77">
        <f>IFERROR(SUM(B20-D20)/D20,0)</f>
        <v/>
      </c>
      <c r="F20" s="79" t="n">
        <v>242535.02</v>
      </c>
      <c r="G20" s="74" t="n">
        <v>1374</v>
      </c>
      <c r="H20" s="63">
        <f>IFERROR(B20/G20,0)</f>
        <v/>
      </c>
      <c r="I20" s="80" t="n"/>
      <c r="J20" s="80" t="n"/>
      <c r="K20" s="80" t="n"/>
      <c r="L20" s="80" t="n"/>
      <c r="M20" s="73" t="n">
        <v>19369.43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2481034.439999999</v>
      </c>
      <c r="D4" s="3" t="n">
        <v>1956083.1132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19 - Mar 25'!I5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245340.8478</v>
      </c>
      <c r="D6" s="73" t="n">
        <v>279732.4019999999</v>
      </c>
      <c r="E6" s="77">
        <f>IFERROR(SUM(B6-D6)/D6,0)</f>
        <v/>
      </c>
      <c r="F6" s="73" t="n">
        <v>263381.39</v>
      </c>
      <c r="G6" s="74" t="n">
        <v>1992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10692.4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186092.346</v>
      </c>
      <c r="D7" s="73" t="n">
        <v>216442.11</v>
      </c>
      <c r="E7" s="77">
        <f>IFERROR(SUM(B7-D7)/D7,0)</f>
        <v/>
      </c>
      <c r="F7" s="73" t="n">
        <v>210661.12</v>
      </c>
      <c r="G7" s="74" t="n">
        <v>1342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5015.95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105150.7158</v>
      </c>
      <c r="D8" s="73" t="n">
        <v>133841.814</v>
      </c>
      <c r="E8" s="77">
        <f>IFERROR(SUM(B8-D8)/D8,0)</f>
        <v/>
      </c>
      <c r="F8" s="73" t="n">
        <v>100413.54</v>
      </c>
      <c r="G8" s="74" t="n">
        <v>709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3781.5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367695.6</v>
      </c>
      <c r="D9" s="73" t="n">
        <v>374018.04</v>
      </c>
      <c r="E9" s="77">
        <f>IFERROR(SUM(B9-D9)/D9,0)</f>
        <v/>
      </c>
      <c r="F9" s="73" t="n">
        <v>358813.66</v>
      </c>
      <c r="G9" s="74" t="n">
        <v>2686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10883.7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167414.472</v>
      </c>
      <c r="D11" s="73" t="n">
        <v>161414.31</v>
      </c>
      <c r="E11" s="77">
        <f>IFERROR(SUM(B11-D11)/D11,0)</f>
        <v/>
      </c>
      <c r="F11" s="73" t="n">
        <v>157515.75</v>
      </c>
      <c r="G11" s="74" t="n">
        <v>1020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4337.1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375410.8121999999</v>
      </c>
      <c r="D12" s="73" t="n">
        <v>327932.514</v>
      </c>
      <c r="E12" s="77">
        <f>IFERROR(SUM(B12-D12)/D12,0)</f>
        <v/>
      </c>
      <c r="F12" s="73" t="n">
        <v>338439.21</v>
      </c>
      <c r="G12" s="74" t="n">
        <v>2379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14568.6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128294.859</v>
      </c>
      <c r="D13" s="73" t="n">
        <v>132220.164</v>
      </c>
      <c r="E13" s="77">
        <f>IFERROR(SUM(B13-D13)/D13,0)</f>
        <v/>
      </c>
      <c r="F13" s="73" t="n">
        <v>124684</v>
      </c>
      <c r="G13" s="74" t="n">
        <v>1106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9732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236653.569</v>
      </c>
      <c r="D14" s="73" t="n">
        <v>227734.722</v>
      </c>
      <c r="E14" s="77">
        <f>IFERROR(SUM(B14-D14)/D14,0)</f>
        <v/>
      </c>
      <c r="F14" s="73" t="n">
        <v>210553.62</v>
      </c>
      <c r="G14" s="74" t="n">
        <v>1568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87560.1966</v>
      </c>
      <c r="D15" s="73" t="n">
        <v>102747.0372</v>
      </c>
      <c r="E15" s="77">
        <f>IFERROR(SUM(B15-D15)/D15,0)</f>
        <v/>
      </c>
      <c r="F15" s="73" t="n">
        <v>110413.04</v>
      </c>
      <c r="G15" s="74" t="n">
        <v>1043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16499.65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161292.1932</v>
      </c>
      <c r="D18" s="73" t="n">
        <v>0</v>
      </c>
      <c r="E18" s="77">
        <f>IFERROR(SUM(B18-D18)/D18,0)</f>
        <v/>
      </c>
      <c r="F18" s="73" t="n">
        <v>171625.98</v>
      </c>
      <c r="G18" s="74" t="n">
        <v>1437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3996.5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143638.9056</v>
      </c>
      <c r="D19" s="73" t="n">
        <v>0</v>
      </c>
      <c r="E19" s="77">
        <f>IFERROR(SUM(B19-D19)/D19,0)</f>
        <v/>
      </c>
      <c r="F19" s="73" t="n">
        <v>162972.82</v>
      </c>
      <c r="G19" s="74" t="n">
        <v>987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6482.35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276489.9227999999</v>
      </c>
      <c r="D20" s="71" t="n">
        <v>0</v>
      </c>
      <c r="E20" s="77">
        <f>IFERROR(SUM(B20-D20)/D20,0)</f>
        <v/>
      </c>
      <c r="F20" s="79" t="n">
        <v>229097.1</v>
      </c>
      <c r="G20" s="74" t="n">
        <v>1545</v>
      </c>
      <c r="H20" s="63">
        <f>IFERROR(B20/G20,0)</f>
        <v/>
      </c>
      <c r="I20" s="80" t="n"/>
      <c r="J20" s="80" t="n"/>
      <c r="K20" s="80" t="n"/>
      <c r="L20" s="80" t="n"/>
      <c r="M20" s="73" t="n">
        <v>11789.4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2779971.2022</v>
      </c>
      <c r="D4" s="3" t="n">
        <v>2057108.7504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#REF!+#REF!+'Mar 26 - Apr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300254.7846</v>
      </c>
      <c r="D6" s="73" t="n">
        <v>276943.4832</v>
      </c>
      <c r="E6" s="77">
        <f>IFERROR(SUM(B6-D6)/D6,0)</f>
        <v/>
      </c>
      <c r="F6" s="73" t="n">
        <v>266247.3</v>
      </c>
      <c r="G6" s="74" t="n">
        <v>1965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9187.65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240153.6768</v>
      </c>
      <c r="D7" s="73" t="n">
        <v>295727.3772</v>
      </c>
      <c r="E7" s="77">
        <f>IFERROR(SUM(B7-D7)/D7,0)</f>
        <v/>
      </c>
      <c r="F7" s="73" t="n">
        <v>223509</v>
      </c>
      <c r="G7" s="74" t="n">
        <v>1553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7587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114471.4356</v>
      </c>
      <c r="D8" s="73" t="n">
        <v>139434.8934</v>
      </c>
      <c r="E8" s="77">
        <f>IFERROR(SUM(B8-D8)/D8,0)</f>
        <v/>
      </c>
      <c r="F8" s="73" t="n">
        <v>107411.5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5371.4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409047.5723999999</v>
      </c>
      <c r="D9" s="73" t="n">
        <v>369735.6528</v>
      </c>
      <c r="E9" s="77">
        <f>IFERROR(SUM(B9-D9)/D9,0)</f>
        <v/>
      </c>
      <c r="F9" s="73" t="n">
        <v>373097.4</v>
      </c>
      <c r="G9" s="74" t="n">
        <v>3044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11796.5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179567.955</v>
      </c>
      <c r="D11" s="73" t="n">
        <v>164607.7008</v>
      </c>
      <c r="E11" s="77">
        <f>IFERROR(SUM(B11-D11)/D11,0)</f>
        <v/>
      </c>
      <c r="F11" s="73" t="n">
        <v>133152.7</v>
      </c>
      <c r="G11" s="74" t="n">
        <v>880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5162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385820.6994</v>
      </c>
      <c r="D12" s="73" t="n">
        <v>376391.2122</v>
      </c>
      <c r="E12" s="77">
        <f>IFERROR(SUM(B12-D12)/D12,0)</f>
        <v/>
      </c>
      <c r="F12" s="73" t="n">
        <v>331751.3</v>
      </c>
      <c r="G12" s="74" t="n">
        <v>2270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14070.5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142139.76</v>
      </c>
      <c r="D13" s="73" t="n">
        <v>136595.1648</v>
      </c>
      <c r="E13" s="77">
        <f>IFERROR(SUM(B13-D13)/D13,0)</f>
        <v/>
      </c>
      <c r="F13" s="73" t="n">
        <v>117570.6</v>
      </c>
      <c r="G13" s="74" t="n">
        <v>1009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6118.25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240031.1268</v>
      </c>
      <c r="D14" s="73" t="n">
        <v>219526.0836</v>
      </c>
      <c r="E14" s="77">
        <f>IFERROR(SUM(B14-D14)/D14,0)</f>
        <v/>
      </c>
      <c r="F14" s="73" t="n">
        <v>216182.3</v>
      </c>
      <c r="G14" s="74" t="n">
        <v>1531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5287.3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125870.8656</v>
      </c>
      <c r="D15" s="73" t="n">
        <v>78147.18239999999</v>
      </c>
      <c r="E15" s="77">
        <f>IFERROR(SUM(B15-D15)/D15,0)</f>
        <v/>
      </c>
      <c r="F15" s="73" t="n">
        <v>92989.97</v>
      </c>
      <c r="G15" s="74" t="n">
        <v>778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8644.200000000001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195653.6172</v>
      </c>
      <c r="D18" s="73" t="n">
        <v>0</v>
      </c>
      <c r="E18" s="77">
        <f>IFERROR(SUM(B18-D18)/D18,0)</f>
        <v/>
      </c>
      <c r="F18" s="73" t="n">
        <v>333749</v>
      </c>
      <c r="G18" s="74" t="n">
        <v>2828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7583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185789.0148</v>
      </c>
      <c r="D19" s="73" t="n">
        <v>0</v>
      </c>
      <c r="E19" s="77">
        <f>IFERROR(SUM(B19-D19)/D19,0)</f>
        <v/>
      </c>
      <c r="F19" s="73" t="n">
        <v>156551.9</v>
      </c>
      <c r="G19" s="74" t="n">
        <v>1005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63" t="n">
        <v>4924.8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261170.694</v>
      </c>
      <c r="D20" s="71" t="n">
        <v>0</v>
      </c>
      <c r="E20" s="77">
        <f>IFERROR(SUM(B20-D20)/D20,0)</f>
        <v/>
      </c>
      <c r="F20" s="79" t="n">
        <v>242554.6</v>
      </c>
      <c r="G20" s="74" t="n">
        <v>1670</v>
      </c>
      <c r="H20" s="63">
        <f>IFERROR(B20/G20,0)</f>
        <v/>
      </c>
      <c r="I20" s="80" t="n"/>
      <c r="J20" s="80" t="n"/>
      <c r="K20" s="80" t="n"/>
      <c r="L20" s="80" t="n"/>
      <c r="M20" s="73" t="n">
        <v>10203.3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2958035.0298</v>
      </c>
      <c r="D4" s="3" t="n">
        <v>1869451.8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2 - Apr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F6*1.14</f>
        <v/>
      </c>
      <c r="C6" s="18" t="n">
        <v>303521.922</v>
      </c>
      <c r="D6" s="73" t="n">
        <v>262972.5666</v>
      </c>
      <c r="E6" s="77">
        <f>IFERROR(SUM(B6-D6)/D6,0)</f>
        <v/>
      </c>
      <c r="F6" s="73" t="n">
        <v>280351.31</v>
      </c>
      <c r="G6" s="74" t="n">
        <v>2116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8862.700000000001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F7*1.14</f>
        <v/>
      </c>
      <c r="C7" s="18" t="n">
        <v>254800.26</v>
      </c>
      <c r="D7" s="73" t="n">
        <v>212787.213</v>
      </c>
      <c r="E7" s="77">
        <f>IFERROR(SUM(B7-D7)/D7,0)</f>
        <v/>
      </c>
      <c r="F7" s="73" t="n">
        <v>203342.33</v>
      </c>
      <c r="G7" s="74" t="n">
        <v>1409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7190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F8*1.14</f>
        <v/>
      </c>
      <c r="C8" s="18" t="n">
        <v>122449.11</v>
      </c>
      <c r="D8" s="73" t="n">
        <v>121925.4966</v>
      </c>
      <c r="E8" s="77">
        <f>IFERROR(SUM(B8-D8)/D8,0)</f>
        <v/>
      </c>
      <c r="F8" s="73" t="n">
        <v>93084.27</v>
      </c>
      <c r="G8" s="74" t="n">
        <v>628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4552.5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F9*1.14</f>
        <v/>
      </c>
      <c r="C9" s="18" t="n">
        <v>425331.036</v>
      </c>
      <c r="D9" s="73" t="n">
        <v>367222.7394</v>
      </c>
      <c r="E9" s="77">
        <f>IFERROR(SUM(B9-D9)/D9,0)</f>
        <v/>
      </c>
      <c r="F9" s="73" t="n">
        <v>395704.53</v>
      </c>
      <c r="G9" s="74" t="n">
        <v>2779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9193.4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F10*1.14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F11*1.14</f>
        <v/>
      </c>
      <c r="C11" s="18" t="n">
        <v>151794.078</v>
      </c>
      <c r="D11" s="73" t="n">
        <v>165382.65</v>
      </c>
      <c r="E11" s="77">
        <f>IFERROR(SUM(B11-D11)/D11,0)</f>
        <v/>
      </c>
      <c r="F11" s="73" t="n">
        <v>125229.44</v>
      </c>
      <c r="G11" s="74" t="n">
        <v>832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5258.05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F12*1.14</f>
        <v/>
      </c>
      <c r="C12" s="18" t="n">
        <v>378196.482</v>
      </c>
      <c r="D12" s="73" t="n">
        <v>337353.9984</v>
      </c>
      <c r="E12" s="77">
        <f>IFERROR(SUM(B12-D12)/D12,0)</f>
        <v/>
      </c>
      <c r="F12" s="73" t="n">
        <v>307505.66</v>
      </c>
      <c r="G12" s="74" t="n">
        <v>2115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12689.95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F13*1.14</f>
        <v/>
      </c>
      <c r="C13" s="18" t="n">
        <v>134030.484</v>
      </c>
      <c r="D13" s="73" t="n">
        <v>132901.5306</v>
      </c>
      <c r="E13" s="77">
        <f>IFERROR(SUM(B13-D13)/D13,0)</f>
        <v/>
      </c>
      <c r="F13" s="73" t="n">
        <v>103713.22</v>
      </c>
      <c r="G13" s="74" t="n">
        <v>902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7053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F14*1.14</f>
        <v/>
      </c>
      <c r="C14" s="18" t="n">
        <v>246447.822</v>
      </c>
      <c r="D14" s="73" t="n">
        <v>180399.8472</v>
      </c>
      <c r="E14" s="77">
        <f>IFERROR(SUM(B14-D14)/D14,0)</f>
        <v/>
      </c>
      <c r="F14" s="73" t="n">
        <v>203812.72</v>
      </c>
      <c r="G14" s="74" t="n">
        <v>1601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4556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F15*1.14</f>
        <v/>
      </c>
      <c r="C15" s="18" t="n">
        <v>106008.5658</v>
      </c>
      <c r="D15" s="73" t="n">
        <v>88505.7582</v>
      </c>
      <c r="E15" s="77">
        <f>IFERROR(SUM(B15-D15)/D15,0)</f>
        <v/>
      </c>
      <c r="F15" s="73" t="n">
        <v>94763.5</v>
      </c>
      <c r="G15" s="74" t="n">
        <v>672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5026.8</v>
      </c>
      <c r="N15" s="26" t="n"/>
      <c r="O15" s="9" t="n"/>
      <c r="P15" s="9" t="n"/>
    </row>
    <row r="16" hidden="1" ht="15.6" customHeight="1">
      <c r="A16" s="19" t="n"/>
      <c r="B16" s="42" t="n"/>
      <c r="C16" s="43" t="n"/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 t="n"/>
      <c r="C17" s="75" t="n"/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F18*1.14</f>
        <v/>
      </c>
      <c r="C18" s="18" t="n">
        <v>380473.86</v>
      </c>
      <c r="D18" s="73" t="n">
        <v>0</v>
      </c>
      <c r="E18" s="77">
        <f>IFERROR(SUM(B18-D18)/D18,0)</f>
        <v/>
      </c>
      <c r="F18" s="73" t="n">
        <v>347847.61</v>
      </c>
      <c r="G18" s="74" t="n">
        <v>3120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7858.5</v>
      </c>
      <c r="N18" s="9" t="n"/>
    </row>
    <row r="19" ht="15.6" customHeight="1">
      <c r="A19" s="40" t="inlineStr">
        <is>
          <t>Kyalami Corner</t>
        </is>
      </c>
      <c r="B19" s="18">
        <f>F19*1.14</f>
        <v/>
      </c>
      <c r="C19" s="18" t="n">
        <v>178469.166</v>
      </c>
      <c r="D19" s="73" t="n">
        <v>0</v>
      </c>
      <c r="E19" s="77">
        <f>IFERROR(SUM(B19-D19)/D19,0)</f>
        <v/>
      </c>
      <c r="F19" s="73" t="n">
        <v>139422.32</v>
      </c>
      <c r="G19" s="74" t="n">
        <v>959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5675</v>
      </c>
      <c r="N19" s="9" t="n"/>
    </row>
    <row r="20" ht="15.6" customHeight="1">
      <c r="A20" s="40" t="inlineStr">
        <is>
          <t>Paulshof</t>
        </is>
      </c>
      <c r="B20" s="18">
        <f>F20*1.14</f>
        <v/>
      </c>
      <c r="C20" s="42" t="n">
        <v>276512.244</v>
      </c>
      <c r="D20" s="71" t="n">
        <v>0</v>
      </c>
      <c r="E20" s="77">
        <f>IFERROR(SUM(B20-D20)/D20,0)</f>
        <v/>
      </c>
      <c r="F20" s="73" t="n">
        <v>208703.21</v>
      </c>
      <c r="G20" s="74" t="n">
        <v>1562</v>
      </c>
      <c r="H20" s="63">
        <f>IFERROR(B20/G20,0)</f>
        <v/>
      </c>
      <c r="I20" s="80" t="n"/>
      <c r="J20" s="80" t="n"/>
      <c r="K20" s="80" t="n"/>
      <c r="L20" s="80" t="n"/>
      <c r="M20" s="73" t="n">
        <v>8671.040000000001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2879002.138</v>
      </c>
      <c r="D4" s="3" t="n">
        <v>1583774.4918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9 - Apr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322404.0065</v>
      </c>
      <c r="D6" s="73" t="n">
        <v>279289.9338</v>
      </c>
      <c r="E6" s="77">
        <f>IFERROR(SUM(B6-D6)/D6,0)</f>
        <v/>
      </c>
      <c r="F6" s="73" t="n">
        <v>207061.9</v>
      </c>
      <c r="G6" s="74" t="n">
        <v>1542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8792.6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233843.6795</v>
      </c>
      <c r="D7" s="73" t="n">
        <v>184820.847</v>
      </c>
      <c r="E7" s="77">
        <f>IFERROR(SUM(B7-D7)/D7,0)</f>
        <v/>
      </c>
      <c r="F7" s="73" t="n">
        <v>190952.05</v>
      </c>
      <c r="G7" s="74" t="n">
        <v>1161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7709.55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107046.9105</v>
      </c>
      <c r="D8" s="73" t="n">
        <v>75321.55559999999</v>
      </c>
      <c r="E8" s="77">
        <f>IFERROR(SUM(B8-D8)/D8,0)</f>
        <v/>
      </c>
      <c r="F8" s="73" t="n">
        <v>105168.35</v>
      </c>
      <c r="G8" s="74" t="n">
        <v>768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5063.3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455060.2095</v>
      </c>
      <c r="D9" s="73" t="n">
        <v>300394.5144</v>
      </c>
      <c r="E9" s="77">
        <f>IFERROR(SUM(B9-D9)/D9,0)</f>
        <v/>
      </c>
      <c r="F9" s="73" t="n">
        <v>306308.54</v>
      </c>
      <c r="G9" s="74" t="n">
        <v>2397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8903.5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144013.856</v>
      </c>
      <c r="D11" s="73" t="n">
        <v>126081.7884</v>
      </c>
      <c r="E11" s="77">
        <f>IFERROR(SUM(B11-D11)/D11,0)</f>
        <v/>
      </c>
      <c r="F11" s="73" t="n">
        <v>123497.04</v>
      </c>
      <c r="G11" s="74" t="n">
        <v>842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5296.6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353631.509</v>
      </c>
      <c r="D12" s="73" t="n">
        <v>290540.628</v>
      </c>
      <c r="E12" s="77">
        <f>IFERROR(SUM(B12-D12)/D12,0)</f>
        <v/>
      </c>
      <c r="F12" s="73" t="n">
        <v>298329.57</v>
      </c>
      <c r="G12" s="74" t="n">
        <v>2109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22241.45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119270.203</v>
      </c>
      <c r="D13" s="73" t="n">
        <v>107629.0758</v>
      </c>
      <c r="E13" s="77">
        <f>IFERROR(SUM(B13-D13)/D13,0)</f>
        <v/>
      </c>
      <c r="F13" s="73" t="n">
        <v>120383.09</v>
      </c>
      <c r="G13" s="74" t="n">
        <v>1028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11452.15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234384.628</v>
      </c>
      <c r="D14" s="73" t="n">
        <v>151682.8026</v>
      </c>
      <c r="E14" s="77">
        <f>IFERROR(SUM(B14-D14)/D14,0)</f>
        <v/>
      </c>
      <c r="F14" s="73" t="n">
        <v>192172.76</v>
      </c>
      <c r="G14" s="74" t="n">
        <v>1458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9663.4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108978.025</v>
      </c>
      <c r="D15" s="73" t="n">
        <v>68013.3462</v>
      </c>
      <c r="E15" s="77">
        <f>IFERROR(SUM(B15-D15)/D15,0)</f>
        <v/>
      </c>
      <c r="F15" s="73" t="n">
        <v>73416.00999999999</v>
      </c>
      <c r="G15" s="74" t="n">
        <v>546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9325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400024.7515</v>
      </c>
      <c r="D18" s="73" t="n">
        <v>0</v>
      </c>
      <c r="E18" s="77">
        <f>IFERROR(SUM(B18-D18)/D18,0)</f>
        <v/>
      </c>
      <c r="F18" s="73" t="n">
        <v>143309.31</v>
      </c>
      <c r="G18" s="74" t="n">
        <v>1280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2605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160335.668</v>
      </c>
      <c r="D19" s="73" t="n">
        <v>0</v>
      </c>
      <c r="E19" s="77">
        <f>IFERROR(SUM(B19-D19)/D19,0)</f>
        <v/>
      </c>
      <c r="F19" s="73" t="n">
        <v>116441.78</v>
      </c>
      <c r="G19" s="74" t="n">
        <v>756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5346.1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240008.6915</v>
      </c>
      <c r="D20" s="71" t="n">
        <v>0</v>
      </c>
      <c r="E20" s="77">
        <f>IFERROR(SUM(B20-D20)/D20,0)</f>
        <v/>
      </c>
      <c r="F20" s="73" t="n">
        <v>178668.29</v>
      </c>
      <c r="G20" s="74" t="n">
        <v>1314</v>
      </c>
      <c r="H20" s="63">
        <f>IFERROR(B20/G20,0)</f>
        <v/>
      </c>
      <c r="I20" s="80" t="n"/>
      <c r="J20" s="80" t="n"/>
      <c r="K20" s="80" t="n"/>
      <c r="L20" s="80" t="n"/>
      <c r="M20" s="73" t="n">
        <v>13490.65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2364064.993499999</v>
      </c>
      <c r="D4" s="3" t="n">
        <v>1755740.3682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16 - Apr 22'!I5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238121.185</v>
      </c>
      <c r="D6" s="73" t="n">
        <v>226149.324</v>
      </c>
      <c r="E6" s="77">
        <f>IFERROR(SUM(B6-D6)/D6,0)</f>
        <v/>
      </c>
      <c r="F6" s="73" t="n">
        <v>197929.61</v>
      </c>
      <c r="G6" s="74" t="n">
        <v>1424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7396.15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219594.8575</v>
      </c>
      <c r="D7" s="73" t="n">
        <v>229817.046</v>
      </c>
      <c r="E7" s="77">
        <f>IFERROR(SUM(B7-D7)/D7,0)</f>
        <v/>
      </c>
      <c r="F7" s="73" t="n">
        <v>171542.2</v>
      </c>
      <c r="G7" s="74" t="n">
        <v>1145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120943.6025</v>
      </c>
      <c r="D8" s="73" t="n">
        <v>98994.11159999999</v>
      </c>
      <c r="E8" s="77">
        <f>IFERROR(SUM(B8-D8)/D8,0)</f>
        <v/>
      </c>
      <c r="F8" s="73" t="n">
        <v>103915.13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6158.75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352254.8209999999</v>
      </c>
      <c r="D9" s="73" t="n">
        <v>330781.146</v>
      </c>
      <c r="E9" s="77">
        <f>IFERROR(SUM(B9-D9)/D9,0)</f>
        <v/>
      </c>
      <c r="F9" s="73" t="n">
        <v>299662.4</v>
      </c>
      <c r="G9" s="74" t="n">
        <v>2263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8631.25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142021.596</v>
      </c>
      <c r="D11" s="73" t="n">
        <v>169039.77</v>
      </c>
      <c r="E11" s="77">
        <f>IFERROR(SUM(B11-D11)/D11,0)</f>
        <v/>
      </c>
      <c r="F11" s="73" t="n">
        <v>150364.32</v>
      </c>
      <c r="G11" s="74" t="n">
        <v>988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8352.25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343079.0055</v>
      </c>
      <c r="D12" s="73" t="n">
        <v>331280.694</v>
      </c>
      <c r="E12" s="77">
        <f>IFERROR(SUM(B12-D12)/D12,0)</f>
        <v/>
      </c>
      <c r="F12" s="73" t="n">
        <v>305149.49</v>
      </c>
      <c r="G12" s="74" t="n">
        <v>2250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16097.8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138440.5535</v>
      </c>
      <c r="D13" s="73" t="n">
        <v>119260.986</v>
      </c>
      <c r="E13" s="77">
        <f>IFERROR(SUM(B13-D13)/D13,0)</f>
        <v/>
      </c>
      <c r="F13" s="73" t="n">
        <v>126708.44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9326.200000000001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220998.674</v>
      </c>
      <c r="D14" s="73" t="n">
        <v>186751.266</v>
      </c>
      <c r="E14" s="77">
        <f>IFERROR(SUM(B14-D14)/D14,0)</f>
        <v/>
      </c>
      <c r="F14" s="73" t="n">
        <v>201732.63</v>
      </c>
      <c r="G14" s="74" t="n">
        <v>1532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4541.6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84428.41149999999</v>
      </c>
      <c r="D15" s="73" t="n">
        <v>63666.0246</v>
      </c>
      <c r="E15" s="77">
        <f>IFERROR(SUM(B15-D15)/D15,0)</f>
        <v/>
      </c>
      <c r="F15" s="73" t="n">
        <v>57445.66</v>
      </c>
      <c r="G15" s="74" t="n">
        <v>452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3548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164805.7065</v>
      </c>
      <c r="D18" s="73" t="n">
        <v>0</v>
      </c>
      <c r="E18" s="77">
        <f>IFERROR(SUM(B18-D18)/D18,0)</f>
        <v/>
      </c>
      <c r="F18" s="73" t="n">
        <v>121351.35</v>
      </c>
      <c r="G18" s="74" t="n">
        <v>1017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2012.96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133908.047</v>
      </c>
      <c r="D19" s="73" t="n">
        <v>0</v>
      </c>
      <c r="E19" s="77">
        <f>IFERROR(SUM(B19-D19)/D19,0)</f>
        <v/>
      </c>
      <c r="F19" s="73" t="n">
        <v>106714.27</v>
      </c>
      <c r="G19" s="74" t="n">
        <v>674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4581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205468.5335</v>
      </c>
      <c r="D20" s="71" t="n">
        <v>0</v>
      </c>
      <c r="E20" s="77">
        <f>IFERROR(SUM(B20-D20)/D20,0)</f>
        <v/>
      </c>
      <c r="F20" s="73" t="n">
        <v>193747.33</v>
      </c>
      <c r="G20" s="74" t="n">
        <v>1342</v>
      </c>
      <c r="H20" s="63">
        <f>IFERROR(B20/G20,0)</f>
        <v/>
      </c>
      <c r="I20" s="80" t="n"/>
      <c r="J20" s="80" t="n"/>
      <c r="K20" s="80" t="n"/>
      <c r="L20" s="80" t="n"/>
      <c r="M20" s="73" t="n">
        <v>9645.450000000001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2341702.2545</v>
      </c>
      <c r="D4" s="3" t="n">
        <v>1914675.6912</v>
      </c>
      <c r="E4" s="76">
        <f>IFERROR((SUM(B4-D4)/D4),0)</f>
        <v/>
      </c>
      <c r="F4" s="66">
        <f>SUM(F6:F20)</f>
        <v/>
      </c>
      <c r="G4" s="62">
        <f>SUM(G6:G20)</f>
        <v/>
      </c>
      <c r="H4" s="4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65" t="n"/>
      <c r="I5" s="49" t="n"/>
      <c r="J5" s="46">
        <f>#REF!+#REF!+'Apr 23 - Apr 29'!I5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227619.0515</v>
      </c>
      <c r="D6" s="73" t="n">
        <v>298021.3536</v>
      </c>
      <c r="E6" s="77">
        <f>IFERROR(SUM(B6-D6)/D6,0)</f>
        <v/>
      </c>
      <c r="F6" s="73" t="n">
        <v>256698.91</v>
      </c>
      <c r="G6" s="74" t="n">
        <v>1859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8570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197273.53</v>
      </c>
      <c r="D7" s="73" t="n">
        <v>216389.8524</v>
      </c>
      <c r="E7" s="77">
        <f>IFERROR(SUM(B7-D7)/D7,0)</f>
        <v/>
      </c>
      <c r="F7" s="73" t="n">
        <v>181356.98</v>
      </c>
      <c r="G7" s="74" t="n">
        <v>1281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6305.5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119502.3995</v>
      </c>
      <c r="D8" s="73" t="n">
        <v>108355.8714</v>
      </c>
      <c r="E8" s="77">
        <f>IFERROR(SUM(B8-D8)/D8,0)</f>
        <v/>
      </c>
      <c r="F8" s="73" t="n">
        <v>109660.7</v>
      </c>
      <c r="G8" s="74" t="n">
        <v>746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344611.76</v>
      </c>
      <c r="D9" s="73" t="n">
        <v>386566.3505999999</v>
      </c>
      <c r="E9" s="77">
        <f>IFERROR(SUM(B9-D9)/D9,0)</f>
        <v/>
      </c>
      <c r="F9" s="73" t="n">
        <v>331693.38</v>
      </c>
      <c r="G9" s="74" t="n">
        <v>2537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10218.4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172918.968</v>
      </c>
      <c r="D11" s="73" t="n">
        <v>178544.7594</v>
      </c>
      <c r="E11" s="77">
        <f>IFERROR(SUM(B11-D11)/D11,0)</f>
        <v/>
      </c>
      <c r="F11" s="73" t="n">
        <v>128841.5</v>
      </c>
      <c r="G11" s="74" t="n">
        <v>874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5595.65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350921.9135</v>
      </c>
      <c r="D12" s="73" t="n">
        <v>326398.5186</v>
      </c>
      <c r="E12" s="77">
        <f>IFERROR(SUM(B12-D12)/D12,0)</f>
        <v/>
      </c>
      <c r="F12" s="73" t="n">
        <v>305554.94</v>
      </c>
      <c r="G12" s="74" t="n">
        <v>2152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16364.75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145714.706</v>
      </c>
      <c r="D13" s="73" t="n">
        <v>125185.0758</v>
      </c>
      <c r="E13" s="77">
        <f>IFERROR(SUM(B13-D13)/D13,0)</f>
        <v/>
      </c>
      <c r="F13" s="73" t="n">
        <v>100037.08</v>
      </c>
      <c r="G13" s="74" t="n">
        <v>826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8543.75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231992.5245</v>
      </c>
      <c r="D14" s="73" t="n">
        <v>193691.2668</v>
      </c>
      <c r="E14" s="77">
        <f>IFERROR(SUM(B14-D14)/D14,0)</f>
        <v/>
      </c>
      <c r="F14" s="73" t="n">
        <v>205831.62</v>
      </c>
      <c r="G14" s="74" t="n">
        <v>1456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6511.7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66062.50900000001</v>
      </c>
      <c r="D15" s="73" t="n">
        <v>81522.64259999999</v>
      </c>
      <c r="E15" s="77">
        <f>IFERROR(SUM(B15-D15)/D15,0)</f>
        <v/>
      </c>
      <c r="F15" s="73" t="n">
        <v>77817.57000000001</v>
      </c>
      <c r="G15" s="74" t="n">
        <v>562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5919.25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139554.0525</v>
      </c>
      <c r="D18" s="73" t="n">
        <v>0</v>
      </c>
      <c r="E18" s="77">
        <f>IFERROR(SUM(B18-D18)/D18,0)</f>
        <v/>
      </c>
      <c r="F18" s="73" t="n">
        <v>232094.91</v>
      </c>
      <c r="G18" s="74" t="n">
        <v>1922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6533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122721.4105</v>
      </c>
      <c r="D19" s="73" t="n">
        <v>0</v>
      </c>
      <c r="E19" s="77">
        <f>IFERROR(SUM(B19-D19)/D19,0)</f>
        <v/>
      </c>
      <c r="F19" s="73" t="n">
        <v>112202.87</v>
      </c>
      <c r="G19" s="74" t="n">
        <v>746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4134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222809.4295</v>
      </c>
      <c r="D20" s="71" t="n">
        <v>0</v>
      </c>
      <c r="E20" s="77">
        <f>IFERROR(SUM(B20-D20)/D20,0)</f>
        <v/>
      </c>
      <c r="F20" s="73" t="n">
        <v>187535.11</v>
      </c>
      <c r="G20" s="74" t="n">
        <v>1284</v>
      </c>
      <c r="H20" s="63">
        <f>IFERROR(B20/G20,0)</f>
        <v/>
      </c>
      <c r="I20" s="80" t="n"/>
      <c r="J20" s="80" t="n"/>
      <c r="K20" s="80" t="n"/>
      <c r="L20" s="80" t="n"/>
      <c r="M20" s="73" t="n">
        <v>9805.200000000001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2563724.405499999</v>
      </c>
      <c r="D4" s="3" t="n">
        <v>1801556.8428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#REF!+#REF!+'Apr 30 - May 6'!I5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295203.7465</v>
      </c>
      <c r="D6" s="73" t="n">
        <v>268465.44</v>
      </c>
      <c r="E6" s="77">
        <f>IFERROR(SUM(B6-D6)/D6,0)</f>
        <v/>
      </c>
      <c r="F6" s="73" t="n">
        <v>269324.95</v>
      </c>
      <c r="G6" s="74" t="n">
        <v>1899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9817.950000000001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208560.527</v>
      </c>
      <c r="D7" s="73" t="n">
        <v>243261.522</v>
      </c>
      <c r="E7" s="77">
        <f>IFERROR(SUM(B7-D7)/D7,0)</f>
        <v/>
      </c>
      <c r="F7" s="73" t="n">
        <v>187990.2</v>
      </c>
      <c r="G7" s="74" t="n">
        <v>1384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7558.95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126109.805</v>
      </c>
      <c r="D8" s="73" t="n">
        <v>99002.90099999998</v>
      </c>
      <c r="E8" s="77">
        <f>IFERROR(SUM(B8-D8)/D8,0)</f>
        <v/>
      </c>
      <c r="F8" s="73" t="n">
        <v>97703.48</v>
      </c>
      <c r="G8" s="74" t="n">
        <v>678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3108.7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381447.387</v>
      </c>
      <c r="D9" s="73" t="n">
        <v>308306.388</v>
      </c>
      <c r="E9" s="77">
        <f>IFERROR(SUM(B9-D9)/D9,0)</f>
        <v/>
      </c>
      <c r="F9" s="73" t="n">
        <v>320185.65</v>
      </c>
      <c r="G9" s="74" t="n">
        <v>2751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9099.25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148167.725</v>
      </c>
      <c r="D11" s="73" t="n">
        <v>175644.36</v>
      </c>
      <c r="E11" s="77">
        <f>IFERROR(SUM(B11-D11)/D11,0)</f>
        <v/>
      </c>
      <c r="F11" s="73" t="n">
        <v>170280.71</v>
      </c>
      <c r="G11" s="74" t="n">
        <v>1059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6230.7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351388.181</v>
      </c>
      <c r="D12" s="73" t="n">
        <v>340751.928</v>
      </c>
      <c r="E12" s="77">
        <f>IFERROR(SUM(B12-D12)/D12,0)</f>
        <v/>
      </c>
      <c r="F12" s="73" t="n">
        <v>327846.33</v>
      </c>
      <c r="G12" s="74" t="n">
        <v>2303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13497.1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115042.642</v>
      </c>
      <c r="D13" s="73" t="n">
        <v>117742.392</v>
      </c>
      <c r="E13" s="77">
        <f>IFERROR(SUM(B13-D13)/D13,0)</f>
        <v/>
      </c>
      <c r="F13" s="73" t="n">
        <v>106938.02</v>
      </c>
      <c r="G13" s="74" t="n">
        <v>973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9520.6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236706.363</v>
      </c>
      <c r="D14" s="73" t="n">
        <v>180887.448</v>
      </c>
      <c r="E14" s="77">
        <f>IFERROR(SUM(B14-D14)/D14,0)</f>
        <v/>
      </c>
      <c r="F14" s="73" t="n">
        <v>221834.6</v>
      </c>
      <c r="G14" s="74" t="n">
        <v>1652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6107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89490.2055</v>
      </c>
      <c r="D15" s="73" t="n">
        <v>67494.4638</v>
      </c>
      <c r="E15" s="77">
        <f>IFERROR(SUM(B15-D15)/D15,0)</f>
        <v/>
      </c>
      <c r="F15" s="73" t="n">
        <v>86372.31</v>
      </c>
      <c r="G15" s="74" t="n">
        <v>733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4726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266909.1465</v>
      </c>
      <c r="D18" s="73" t="n">
        <v>0</v>
      </c>
      <c r="E18" s="77">
        <f>IFERROR(SUM(B18-D18)/D18,0)</f>
        <v/>
      </c>
      <c r="F18" s="73" t="n">
        <v>167993.44</v>
      </c>
      <c r="G18" s="74" t="n">
        <v>1475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4112.48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129033.3005</v>
      </c>
      <c r="D19" s="73" t="n">
        <v>0</v>
      </c>
      <c r="E19" s="77">
        <f>IFERROR(SUM(B19-D19)/D19,0)</f>
        <v/>
      </c>
      <c r="F19" s="73" t="n">
        <v>125951.95</v>
      </c>
      <c r="G19" s="74" t="n">
        <v>846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5791.2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215665.3765</v>
      </c>
      <c r="D20" s="71" t="n">
        <v>0</v>
      </c>
      <c r="E20" s="77">
        <f>IFERROR(SUM(B20-D20)/D20,0)</f>
        <v/>
      </c>
      <c r="F20" s="73" t="n">
        <v>196283.5</v>
      </c>
      <c r="G20" s="74" t="n">
        <v>1409</v>
      </c>
      <c r="H20" s="63">
        <f>IFERROR(B20/G20,0)</f>
        <v/>
      </c>
      <c r="I20" s="80" t="n"/>
      <c r="J20" s="80" t="n"/>
      <c r="K20" s="80" t="n"/>
      <c r="L20" s="80" t="n"/>
      <c r="M20" s="73" t="n">
        <v>10760.3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2620510.911</v>
      </c>
      <c r="D4" s="3" t="n">
        <v>1696499.094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7 - May 13'!I5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309723.6925</v>
      </c>
      <c r="D6" s="73" t="n">
        <v>230487.3204</v>
      </c>
      <c r="E6" s="77">
        <f>IFERROR(SUM(B6-D6)/D6,0)</f>
        <v/>
      </c>
      <c r="F6" s="73" t="n">
        <v>237445.42</v>
      </c>
      <c r="G6" s="74" t="n">
        <v>1655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9654.15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216188.73</v>
      </c>
      <c r="D7" s="73" t="n">
        <v>190477.356</v>
      </c>
      <c r="E7" s="77">
        <f>IFERROR(SUM(B7-D7)/D7,0)</f>
        <v/>
      </c>
      <c r="F7" s="73" t="n">
        <v>185846.5</v>
      </c>
      <c r="G7" s="74" t="n">
        <v>1213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6091.9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112359.002</v>
      </c>
      <c r="D8" s="73" t="n">
        <v>96202.662</v>
      </c>
      <c r="E8" s="77">
        <f>IFERROR(SUM(B8-D8)/D8,0)</f>
        <v/>
      </c>
      <c r="F8" s="73" t="n">
        <v>106888.4</v>
      </c>
      <c r="G8" s="74" t="n">
        <v>795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4881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368213.4975</v>
      </c>
      <c r="D9" s="73" t="n">
        <v>332690.3952</v>
      </c>
      <c r="E9" s="77">
        <f>IFERROR(SUM(B9-D9)/D9,0)</f>
        <v/>
      </c>
      <c r="F9" s="73" t="n">
        <v>310891.8</v>
      </c>
      <c r="G9" s="74" t="n">
        <v>2317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10940.35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195822.8165</v>
      </c>
      <c r="D11" s="73" t="n">
        <v>185135.316</v>
      </c>
      <c r="E11" s="77">
        <f>IFERROR(SUM(B11-D11)/D11,0)</f>
        <v/>
      </c>
      <c r="F11" s="73" t="n">
        <v>144208.29</v>
      </c>
      <c r="G11" s="74" t="n">
        <v>915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3444.6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377023.2795</v>
      </c>
      <c r="D12" s="73" t="n">
        <v>314880.6312</v>
      </c>
      <c r="E12" s="77">
        <f>IFERROR(SUM(B12-D12)/D12,0)</f>
        <v/>
      </c>
      <c r="F12" s="73" t="n">
        <v>298867.6</v>
      </c>
      <c r="G12" s="74" t="n">
        <v>2050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10595.5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122978.723</v>
      </c>
      <c r="D13" s="73" t="n">
        <v>123490.6254</v>
      </c>
      <c r="E13" s="77">
        <f>IFERROR(SUM(B13-D13)/D13,0)</f>
        <v/>
      </c>
      <c r="F13" s="73" t="n">
        <v>111772.07</v>
      </c>
      <c r="G13" s="74" t="n">
        <v>919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9576.25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255109.79</v>
      </c>
      <c r="D14" s="73" t="n">
        <v>183686.376</v>
      </c>
      <c r="E14" s="77">
        <f>IFERROR(SUM(B14-D14)/D14,0)</f>
        <v/>
      </c>
      <c r="F14" s="73" t="n">
        <v>206376.85</v>
      </c>
      <c r="G14" s="74" t="n">
        <v>1509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5494.8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99328.15649999998</v>
      </c>
      <c r="D15" s="73" t="n">
        <v>39448.4118</v>
      </c>
      <c r="E15" s="77">
        <f>IFERROR(SUM(B15-D15)/D15,0)</f>
        <v/>
      </c>
      <c r="F15" s="73" t="n">
        <v>63275.65</v>
      </c>
      <c r="G15" s="74" t="n">
        <v>467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3688.5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193192.456</v>
      </c>
      <c r="D18" s="73" t="n">
        <v>0</v>
      </c>
      <c r="E18" s="77">
        <f>IFERROR(SUM(B18-D18)/D18,0)</f>
        <v/>
      </c>
      <c r="F18" s="73" t="n">
        <v>110917.1</v>
      </c>
      <c r="G18" s="74" t="n">
        <v>1186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3302.9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144844.7425</v>
      </c>
      <c r="D19" s="73" t="n">
        <v>0</v>
      </c>
      <c r="E19" s="77">
        <f>IFERROR(SUM(B19-D19)/D19,0)</f>
        <v/>
      </c>
      <c r="F19" s="73" t="n">
        <v>143298.11</v>
      </c>
      <c r="G19" s="74" t="n">
        <v>944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5925.7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225726.025</v>
      </c>
      <c r="D20" s="71" t="n">
        <v>0</v>
      </c>
      <c r="E20" s="77">
        <f>IFERROR(SUM(B20-D20)/D20,0)</f>
        <v/>
      </c>
      <c r="F20" s="73" t="n">
        <v>223743.4</v>
      </c>
      <c r="G20" s="74" t="n">
        <v>1526</v>
      </c>
      <c r="H20" s="63">
        <f>IFERROR(B20/G20,0)</f>
        <v/>
      </c>
      <c r="I20" s="80" t="n"/>
      <c r="J20" s="80" t="n"/>
      <c r="K20" s="80" t="n"/>
      <c r="L20" s="80" t="n"/>
      <c r="M20" s="73" t="n">
        <v>10482.5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2465060.8685</v>
      </c>
      <c r="D4" s="3" t="n">
        <v>1700822.6466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14 - May 20'!I5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273062.233</v>
      </c>
      <c r="D6" s="73" t="n">
        <v>192784.4652</v>
      </c>
      <c r="E6" s="77">
        <f>IFERROR(SUM(B6-D6)/D6,0)</f>
        <v/>
      </c>
      <c r="F6" s="73" t="n">
        <v>185743.3</v>
      </c>
      <c r="G6" s="74" t="n">
        <v>1379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5332.25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213723.475</v>
      </c>
      <c r="D7" s="73" t="n">
        <v>219700.6746</v>
      </c>
      <c r="E7" s="77">
        <f>IFERROR(SUM(B7-D7)/D7,0)</f>
        <v/>
      </c>
      <c r="F7" s="73" t="n">
        <v>170395.84</v>
      </c>
      <c r="G7" s="74" t="n">
        <v>1194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8295.5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122921.66</v>
      </c>
      <c r="D8" s="73" t="n">
        <v>124098.4506</v>
      </c>
      <c r="E8" s="77">
        <f>IFERROR(SUM(B8-D8)/D8,0)</f>
        <v/>
      </c>
      <c r="F8" s="73" t="n">
        <v>79754.94</v>
      </c>
      <c r="G8" s="74" t="n">
        <v>581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5529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357525.5699999999</v>
      </c>
      <c r="D9" s="73" t="n">
        <v>319344.5748</v>
      </c>
      <c r="E9" s="77">
        <f>IFERROR(SUM(B9-D9)/D9,0)</f>
        <v/>
      </c>
      <c r="F9" s="73" t="n">
        <v>259836.52</v>
      </c>
      <c r="G9" s="74" t="n">
        <v>1856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8710.799999999999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165839.5335</v>
      </c>
      <c r="D11" s="73" t="n">
        <v>177577.743</v>
      </c>
      <c r="E11" s="77">
        <f>IFERROR(SUM(B11-D11)/D11,0)</f>
        <v/>
      </c>
      <c r="F11" s="73" t="n">
        <v>129346.78</v>
      </c>
      <c r="G11" s="74" t="n">
        <v>811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4189.2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343697.7399999999</v>
      </c>
      <c r="D12" s="73" t="n">
        <v>320830.257</v>
      </c>
      <c r="E12" s="77">
        <f>IFERROR(SUM(B12-D12)/D12,0)</f>
        <v/>
      </c>
      <c r="F12" s="73" t="n">
        <v>287710.11</v>
      </c>
      <c r="G12" s="74" t="n">
        <v>2199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9139.299999999999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128537.8805</v>
      </c>
      <c r="D13" s="73" t="n">
        <v>103652.4252</v>
      </c>
      <c r="E13" s="77">
        <f>IFERROR(SUM(B13-D13)/D13,0)</f>
        <v/>
      </c>
      <c r="F13" s="73" t="n">
        <v>103691.4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7863.75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237333.3775</v>
      </c>
      <c r="D14" s="73" t="n">
        <v>170720.8368</v>
      </c>
      <c r="E14" s="77">
        <f>IFERROR(SUM(B14-D14)/D14,0)</f>
        <v/>
      </c>
      <c r="F14" s="73" t="n">
        <v>169358.35</v>
      </c>
      <c r="G14" s="74" t="n">
        <v>1216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6638.5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72766.9975</v>
      </c>
      <c r="D15" s="73" t="n">
        <v>72113.21939999999</v>
      </c>
      <c r="E15" s="77">
        <f>IFERROR(SUM(B15-D15)/D15,0)</f>
        <v/>
      </c>
      <c r="F15" s="73" t="n">
        <v>41410.68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4906.85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127554.665</v>
      </c>
      <c r="D18" s="73" t="n">
        <v>0</v>
      </c>
      <c r="E18" s="77">
        <f>IFERROR(SUM(B18-D18)/D18,0)</f>
        <v/>
      </c>
      <c r="F18" s="73" t="n">
        <v>94936.64999999999</v>
      </c>
      <c r="G18" s="74" t="n">
        <v>801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2138.5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164792.8265</v>
      </c>
      <c r="D19" s="73" t="n">
        <v>0</v>
      </c>
      <c r="E19" s="77">
        <f>IFERROR(SUM(B19-D19)/D19,0)</f>
        <v/>
      </c>
      <c r="F19" s="73" t="n">
        <v>105933.05</v>
      </c>
      <c r="G19" s="74" t="n">
        <v>703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5234.4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257304.91</v>
      </c>
      <c r="D20" s="71" t="n">
        <v>0</v>
      </c>
      <c r="E20" s="77">
        <f>IFERROR(SUM(B20-D20)/D20,0)</f>
        <v/>
      </c>
      <c r="F20" s="73" t="n">
        <v>155721.71</v>
      </c>
      <c r="G20" s="74" t="n">
        <v>1198</v>
      </c>
      <c r="H20" s="63">
        <f>IFERROR(B20/G20,0)</f>
        <v/>
      </c>
      <c r="I20" s="80" t="n"/>
      <c r="J20" s="80" t="n"/>
      <c r="K20" s="80" t="n"/>
      <c r="L20" s="80" t="n"/>
      <c r="M20" s="73" t="n">
        <v>8535.200000000001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2051415.2295</v>
      </c>
      <c r="D4" s="3" t="n">
        <v>1818532.8564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21 - May 27'!I5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213604.795</v>
      </c>
      <c r="D6" s="73" t="n">
        <v>266564.7635999999</v>
      </c>
      <c r="E6" s="77">
        <f>IFERROR(SUM(B6-D6)/D6,0)</f>
        <v/>
      </c>
      <c r="F6" s="73" t="n">
        <v>221825.67</v>
      </c>
      <c r="G6" s="74" t="n">
        <v>1595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9227.6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195955.216</v>
      </c>
      <c r="D7" s="73" t="n">
        <v>177411.8502</v>
      </c>
      <c r="E7" s="77">
        <f>IFERROR(SUM(B7-D7)/D7,0)</f>
        <v/>
      </c>
      <c r="F7" s="73" t="n">
        <v>186639.79</v>
      </c>
      <c r="G7" s="74" t="n">
        <v>1172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6727.5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91718.181</v>
      </c>
      <c r="D8" s="73" t="n">
        <v>125343.627</v>
      </c>
      <c r="E8" s="77">
        <f>IFERROR(SUM(B8-D8)/D8,0)</f>
        <v/>
      </c>
      <c r="F8" s="73" t="n">
        <v>88423.89</v>
      </c>
      <c r="G8" s="74" t="n">
        <v>677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3174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298811.998</v>
      </c>
      <c r="D9" s="73" t="n">
        <v>318817.1765999999</v>
      </c>
      <c r="E9" s="77">
        <f>IFERROR(SUM(B9-D9)/D9,0)</f>
        <v/>
      </c>
      <c r="F9" s="73" t="n">
        <v>299724.59</v>
      </c>
      <c r="G9" s="74" t="n">
        <v>2107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7843.5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148748.797</v>
      </c>
      <c r="D11" s="73" t="n">
        <v>197336.8044</v>
      </c>
      <c r="E11" s="77">
        <f>IFERROR(SUM(B11-D11)/D11,0)</f>
        <v/>
      </c>
      <c r="F11" s="73" t="n">
        <v>168223.03</v>
      </c>
      <c r="G11" s="74" t="n">
        <v>1139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5311.5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330866.6265</v>
      </c>
      <c r="D12" s="73" t="n">
        <v>382925.5896</v>
      </c>
      <c r="E12" s="77">
        <f>IFERROR(SUM(B12-D12)/D12,0)</f>
        <v/>
      </c>
      <c r="F12" s="73" t="n">
        <v>305095.51</v>
      </c>
      <c r="G12" s="74" t="n">
        <v>2193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10874.85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119245.11</v>
      </c>
      <c r="D13" s="73" t="n">
        <v>118424.7276</v>
      </c>
      <c r="E13" s="77">
        <f>IFERROR(SUM(B13-D13)/D13,0)</f>
        <v/>
      </c>
      <c r="F13" s="73" t="n">
        <v>111686.16</v>
      </c>
      <c r="G13" s="74" t="n">
        <v>1139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194762.1025</v>
      </c>
      <c r="D14" s="73" t="n">
        <v>182258.0016</v>
      </c>
      <c r="E14" s="77">
        <f>IFERROR(SUM(B14-D14)/D14,0)</f>
        <v/>
      </c>
      <c r="F14" s="73" t="n">
        <v>200143.4</v>
      </c>
      <c r="G14" s="74" t="n">
        <v>1462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6788.25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47622.282</v>
      </c>
      <c r="D15" s="73" t="n">
        <v>49450.3158</v>
      </c>
      <c r="E15" s="77">
        <f>IFERROR(SUM(B15-D15)/D15,0)</f>
        <v/>
      </c>
      <c r="F15" s="73" t="n">
        <v>53164.57</v>
      </c>
      <c r="G15" s="74" t="n">
        <v>376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2121.75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109177.1475</v>
      </c>
      <c r="D18" s="73" t="n">
        <v>0</v>
      </c>
      <c r="E18" s="77">
        <f>IFERROR(SUM(B18-D18)/D18,0)</f>
        <v/>
      </c>
      <c r="F18" s="73" t="n">
        <v>109316.15</v>
      </c>
      <c r="G18" s="74" t="n">
        <v>856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1923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121823.0075</v>
      </c>
      <c r="D19" s="73" t="n">
        <v>0</v>
      </c>
      <c r="E19" s="77">
        <f>IFERROR(SUM(B19-D19)/D19,0)</f>
        <v/>
      </c>
      <c r="F19" s="73" t="n">
        <v>125748.07</v>
      </c>
      <c r="G19" s="74" t="n">
        <v>847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5431.4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179079.9665</v>
      </c>
      <c r="D20" s="71" t="n">
        <v>0</v>
      </c>
      <c r="E20" s="77">
        <f>IFERROR(SUM(B20-D20)/D20,0)</f>
        <v/>
      </c>
      <c r="F20" s="73" t="n">
        <v>184789.68</v>
      </c>
      <c r="G20" s="74" t="n">
        <v>1254</v>
      </c>
      <c r="H20" s="63">
        <f>IFERROR(B20/G20,0)</f>
        <v/>
      </c>
      <c r="I20" s="80" t="n"/>
      <c r="J20" s="80" t="n"/>
      <c r="K20" s="80" t="n"/>
      <c r="L20" s="80" t="n"/>
      <c r="M20" s="73" t="n">
        <v>8054.2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2362997.5865</v>
      </c>
      <c r="D4" s="3" t="n">
        <v>1680888.2646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#REF!+#REF!+'May 28 - Jun 3'!I5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255099.5205</v>
      </c>
      <c r="D6" s="73" t="n">
        <v>223132.998</v>
      </c>
      <c r="E6" s="77">
        <f>IFERROR(SUM(B6-D6)/D6,0)</f>
        <v/>
      </c>
      <c r="F6" s="73" t="n">
        <v>216962.87</v>
      </c>
      <c r="G6" s="74" t="n">
        <v>1531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9500.049999999999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214635.7585</v>
      </c>
      <c r="D7" s="73" t="n">
        <v>182723.19</v>
      </c>
      <c r="E7" s="77">
        <f>IFERROR(SUM(B7-D7)/D7,0)</f>
        <v/>
      </c>
      <c r="F7" s="73" t="n">
        <v>176855.05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4818.3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101687.4735</v>
      </c>
      <c r="D8" s="73" t="n">
        <v>108279.7992</v>
      </c>
      <c r="E8" s="77">
        <f>IFERROR(SUM(B8-D8)/D8,0)</f>
        <v/>
      </c>
      <c r="F8" s="73" t="n">
        <v>103723.55</v>
      </c>
      <c r="G8" s="74" t="n">
        <v>717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3062.5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344683.2785</v>
      </c>
      <c r="D9" s="73" t="n">
        <v>292489.002</v>
      </c>
      <c r="E9" s="77">
        <f>IFERROR(SUM(B9-D9)/D9,0)</f>
        <v/>
      </c>
      <c r="F9" s="73" t="n">
        <v>325253.41</v>
      </c>
      <c r="G9" s="74" t="n">
        <v>2311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10199.05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193456.4845</v>
      </c>
      <c r="D11" s="73" t="n">
        <v>183151.032</v>
      </c>
      <c r="E11" s="77">
        <f>IFERROR(SUM(B11-D11)/D11,0)</f>
        <v/>
      </c>
      <c r="F11" s="73" t="n">
        <v>129201.41</v>
      </c>
      <c r="G11" s="74" t="n">
        <v>804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3729.5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350859.8365</v>
      </c>
      <c r="D12" s="73" t="n">
        <v>340070.55</v>
      </c>
      <c r="E12" s="77">
        <f>IFERROR(SUM(B12-D12)/D12,0)</f>
        <v/>
      </c>
      <c r="F12" s="73" t="n">
        <v>315569.27</v>
      </c>
      <c r="G12" s="74" t="n">
        <v>2194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9367.75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128439.084</v>
      </c>
      <c r="D13" s="73" t="n">
        <v>126452.22</v>
      </c>
      <c r="E13" s="77">
        <f>IFERROR(SUM(B13-D13)/D13,0)</f>
        <v/>
      </c>
      <c r="F13" s="73" t="n">
        <v>111799.63</v>
      </c>
      <c r="G13" s="74" t="n">
        <v>941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9154.799999999999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230164.91</v>
      </c>
      <c r="D14" s="73" t="n">
        <v>184063.602</v>
      </c>
      <c r="E14" s="77">
        <f>IFERROR(SUM(B14-D14)/D14,0)</f>
        <v/>
      </c>
      <c r="F14" s="73" t="n">
        <v>196039.46</v>
      </c>
      <c r="G14" s="74" t="n">
        <v>1394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5971.2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61139.25549999999</v>
      </c>
      <c r="D15" s="73" t="n">
        <v>40525.8714</v>
      </c>
      <c r="E15" s="77">
        <f>IFERROR(SUM(B15-D15)/D15,0)</f>
        <v/>
      </c>
      <c r="F15" s="73" t="n">
        <v>41439.95</v>
      </c>
      <c r="G15" s="74" t="n">
        <v>319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5038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43" t="n">
        <v>0</v>
      </c>
      <c r="D16" s="72" t="n">
        <v>0</v>
      </c>
      <c r="E16" s="78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2" t="n">
        <v>0</v>
      </c>
      <c r="E17" s="77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125713.5725</v>
      </c>
      <c r="D18" s="73" t="n">
        <v>0</v>
      </c>
      <c r="E18" s="77">
        <f>IFERROR(SUM(B18-D18)/D18,0)</f>
        <v/>
      </c>
      <c r="F18" s="73" t="n">
        <v>107350.84</v>
      </c>
      <c r="G18" s="74" t="n">
        <v>883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3390.6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144610.2805</v>
      </c>
      <c r="D19" s="73" t="n">
        <v>0</v>
      </c>
      <c r="E19" s="77">
        <f>IFERROR(SUM(B19-D19)/D19,0)</f>
        <v/>
      </c>
      <c r="F19" s="73" t="n">
        <v>126441.65</v>
      </c>
      <c r="G19" s="74" t="n">
        <v>813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4123.5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42" t="n">
        <v>212508.132</v>
      </c>
      <c r="D20" s="71" t="n">
        <v>0</v>
      </c>
      <c r="E20" s="77">
        <f>IFERROR(SUM(B20-D20)/D20,0)</f>
        <v/>
      </c>
      <c r="F20" s="73" t="n">
        <v>165690.08</v>
      </c>
      <c r="G20" s="74" t="n">
        <v>1089</v>
      </c>
      <c r="H20" s="63">
        <f>IFERROR(B20/G20,0)</f>
        <v/>
      </c>
      <c r="I20" s="80" t="n"/>
      <c r="J20" s="80" t="n"/>
      <c r="K20" s="80" t="n"/>
      <c r="L20" s="80" t="n"/>
      <c r="M20" s="73" t="n">
        <v>9154.35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2318776.2455</v>
      </c>
      <c r="D4" s="3" t="n">
        <v>1559877.1278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4 - Jun 10'!I5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249507.3005</v>
      </c>
      <c r="D6" s="73" t="n">
        <v>194546.7</v>
      </c>
      <c r="E6" s="86">
        <f>IFERROR(SUM(B6-D6)/D6,0)</f>
        <v/>
      </c>
      <c r="F6" s="73" t="n">
        <v>196627.05</v>
      </c>
      <c r="G6" s="74" t="n">
        <v>1333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13565.85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203383.3075</v>
      </c>
      <c r="D7" s="73" t="n">
        <v>168788.286</v>
      </c>
      <c r="E7" s="86">
        <f>IFERROR(SUM(B7-D7)/D7,0)</f>
        <v/>
      </c>
      <c r="F7" s="73" t="n">
        <v>173968.25</v>
      </c>
      <c r="G7" s="74" t="n">
        <v>1144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4416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119282.0825</v>
      </c>
      <c r="D8" s="73" t="n">
        <v>108277.0404</v>
      </c>
      <c r="E8" s="86">
        <f>IFERROR(SUM(B8-D8)/D8,0)</f>
        <v/>
      </c>
      <c r="F8" s="73" t="n">
        <v>107361.01</v>
      </c>
      <c r="G8" s="74" t="n">
        <v>724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4316.5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374041.4214999999</v>
      </c>
      <c r="D9" s="73" t="n">
        <v>292111.662</v>
      </c>
      <c r="E9" s="86">
        <f>IFERROR(SUM(B9-D9)/D9,0)</f>
        <v/>
      </c>
      <c r="F9" s="73" t="n">
        <v>285115.41</v>
      </c>
      <c r="G9" s="74" t="n">
        <v>1989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9372.5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148581.6215</v>
      </c>
      <c r="D11" s="73" t="n">
        <v>152013.756</v>
      </c>
      <c r="E11" s="86">
        <f>IFERROR(SUM(B11-D11)/D11,0)</f>
        <v/>
      </c>
      <c r="F11" s="73" t="n">
        <v>114333.9</v>
      </c>
      <c r="G11" s="74" t="n">
        <v>743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4556.32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362904.6605</v>
      </c>
      <c r="D12" s="73" t="n">
        <v>344101.02</v>
      </c>
      <c r="E12" s="86">
        <f>IFERROR(SUM(B12-D12)/D12,0)</f>
        <v/>
      </c>
      <c r="F12" s="73" t="n">
        <v>284486.68</v>
      </c>
      <c r="G12" s="74" t="n">
        <v>1986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9190.549999999999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128569.5745</v>
      </c>
      <c r="D13" s="73" t="n">
        <v>109126.3518</v>
      </c>
      <c r="E13" s="86">
        <f>IFERROR(SUM(B13-D13)/D13,0)</f>
        <v/>
      </c>
      <c r="F13" s="73" t="n">
        <v>109155.43</v>
      </c>
      <c r="G13" s="74" t="n">
        <v>938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8865.52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225445.379</v>
      </c>
      <c r="D14" s="73" t="n">
        <v>165258.96</v>
      </c>
      <c r="E14" s="86">
        <f>IFERROR(SUM(B14-D14)/D14,0)</f>
        <v/>
      </c>
      <c r="F14" s="73" t="n">
        <v>183499.55</v>
      </c>
      <c r="G14" s="74" t="n">
        <v>1351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6523.5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47655.94249999999</v>
      </c>
      <c r="D15" s="73" t="n">
        <v>25653.35159999999</v>
      </c>
      <c r="E15" s="86">
        <f>IFERROR(SUM(B15-D15)/D15,0)</f>
        <v/>
      </c>
      <c r="F15" s="73" t="n">
        <v>59038.27</v>
      </c>
      <c r="G15" s="74" t="n">
        <v>463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3824.5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123453.466</v>
      </c>
      <c r="D18" s="73" t="n">
        <v>0</v>
      </c>
      <c r="E18" s="86">
        <f>IFERROR(SUM(B18-D18)/D18,0)</f>
        <v/>
      </c>
      <c r="F18" s="73" t="n">
        <v>99714.09</v>
      </c>
      <c r="G18" s="74" t="n">
        <v>786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1766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145407.8975</v>
      </c>
      <c r="D19" s="73" t="n">
        <v>0</v>
      </c>
      <c r="E19" s="86">
        <f>IFERROR(SUM(B19-D19)/D19,0)</f>
        <v/>
      </c>
      <c r="F19" s="73" t="n">
        <v>117142.32</v>
      </c>
      <c r="G19" s="74" t="n">
        <v>739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7213.45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190543.592</v>
      </c>
      <c r="D20" s="73" t="n">
        <v>0</v>
      </c>
      <c r="E20" s="86">
        <f>IFERROR(SUM(B20-D20)/D20,0)</f>
        <v/>
      </c>
      <c r="F20" s="73" t="n">
        <v>184110.6</v>
      </c>
      <c r="G20" s="74" t="n">
        <v>1267</v>
      </c>
      <c r="H20" s="63">
        <f>IFERROR(B20/G20,0)</f>
        <v/>
      </c>
      <c r="I20" s="80" t="n"/>
      <c r="J20" s="80" t="n"/>
      <c r="K20" s="80" t="n"/>
      <c r="L20" s="80" t="n"/>
      <c r="M20" s="73" t="n">
        <v>13293.35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2201735.444</v>
      </c>
      <c r="D4" s="3" t="n">
        <v>1618146.9852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11 - Jun 17'!I5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226121.1075</v>
      </c>
      <c r="D6" s="73" t="n">
        <v>240390.546</v>
      </c>
      <c r="E6" s="86">
        <f>IFERROR(SUM(B6-D6)/D6,0)</f>
        <v/>
      </c>
      <c r="F6" s="73" t="n">
        <v>219292.94</v>
      </c>
      <c r="G6" s="74" t="n">
        <v>1519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10981.61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200063.4875</v>
      </c>
      <c r="D7" s="73" t="n">
        <v>188616.42</v>
      </c>
      <c r="E7" s="86">
        <f>IFERROR(SUM(B7-D7)/D7,0)</f>
        <v/>
      </c>
      <c r="F7" s="73" t="n">
        <v>218436.15</v>
      </c>
      <c r="G7" s="74" t="n">
        <v>1361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6423.1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123465.1615</v>
      </c>
      <c r="D8" s="73" t="n">
        <v>99364.95359999999</v>
      </c>
      <c r="E8" s="86">
        <f>IFERROR(SUM(B8-D8)/D8,0)</f>
        <v/>
      </c>
      <c r="F8" s="73" t="n">
        <v>102311.25</v>
      </c>
      <c r="G8" s="74" t="n">
        <v>763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4128.3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327882.7214999999</v>
      </c>
      <c r="D9" s="73" t="n">
        <v>293901.918</v>
      </c>
      <c r="E9" s="86">
        <f>IFERROR(SUM(B9-D9)/D9,0)</f>
        <v/>
      </c>
      <c r="F9" s="73" t="n">
        <v>263398.5</v>
      </c>
      <c r="G9" s="74" t="n">
        <v>1874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8852.950000000001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131483.985</v>
      </c>
      <c r="D11" s="73" t="n">
        <v>144357.744</v>
      </c>
      <c r="E11" s="86">
        <f>IFERROR(SUM(B11-D11)/D11,0)</f>
        <v/>
      </c>
      <c r="F11" s="73" t="n">
        <v>139559.57</v>
      </c>
      <c r="G11" s="74" t="n">
        <v>890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4228.55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327159.682</v>
      </c>
      <c r="D12" s="73" t="n">
        <v>340284.186</v>
      </c>
      <c r="E12" s="86">
        <f>IFERROR(SUM(B12-D12)/D12,0)</f>
        <v/>
      </c>
      <c r="F12" s="73" t="n">
        <v>292034.61</v>
      </c>
      <c r="G12" s="74" t="n">
        <v>1987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8927.65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125528.7445</v>
      </c>
      <c r="D13" s="73" t="n">
        <v>115199.622</v>
      </c>
      <c r="E13" s="86">
        <f>IFERROR(SUM(B13-D13)/D13,0)</f>
        <v/>
      </c>
      <c r="F13" s="73" t="n">
        <v>106785.85</v>
      </c>
      <c r="G13" s="74" t="n">
        <v>868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8436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211024.4825</v>
      </c>
      <c r="D14" s="73" t="n">
        <v>135956.856</v>
      </c>
      <c r="E14" s="86">
        <f>IFERROR(SUM(B14-D14)/D14,0)</f>
        <v/>
      </c>
      <c r="F14" s="73" t="n">
        <v>190973.41</v>
      </c>
      <c r="G14" s="74" t="n">
        <v>1380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5894.6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67894.01049999999</v>
      </c>
      <c r="D15" s="73" t="n">
        <v>60074.73959999999</v>
      </c>
      <c r="E15" s="86">
        <f>IFERROR(SUM(B15-D15)/D15,0)</f>
        <v/>
      </c>
      <c r="F15" s="73" t="n">
        <v>44107.9</v>
      </c>
      <c r="G15" s="74" t="n">
        <v>347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3261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114671.2035</v>
      </c>
      <c r="D18" s="73" t="n">
        <v>0</v>
      </c>
      <c r="E18" s="86">
        <f>IFERROR(SUM(B18-D18)/D18,0)</f>
        <v/>
      </c>
      <c r="F18" s="73" t="n">
        <v>129531.14</v>
      </c>
      <c r="G18" s="74" t="n">
        <v>1102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3797.15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134713.668</v>
      </c>
      <c r="D19" s="73" t="n">
        <v>0</v>
      </c>
      <c r="E19" s="86">
        <f>IFERROR(SUM(B19-D19)/D19,0)</f>
        <v/>
      </c>
      <c r="F19" s="73" t="n">
        <v>114456.03</v>
      </c>
      <c r="G19" s="74" t="n">
        <v>749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6307.25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211727.19</v>
      </c>
      <c r="D20" s="73" t="n">
        <v>0</v>
      </c>
      <c r="E20" s="86">
        <f>IFERROR(SUM(B20-D20)/D20,0)</f>
        <v/>
      </c>
      <c r="F20" s="73" t="n">
        <v>190303.96</v>
      </c>
      <c r="G20" s="74" t="n">
        <v>1252</v>
      </c>
      <c r="H20" s="63">
        <f>IFERROR(B20/G20,0)</f>
        <v/>
      </c>
      <c r="I20" s="80" t="n"/>
      <c r="J20" s="80" t="n"/>
      <c r="K20" s="80" t="n"/>
      <c r="L20" s="80" t="n"/>
      <c r="M20" s="73" t="n">
        <v>15860.15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2312870.0065</v>
      </c>
      <c r="D4" s="3" t="n">
        <v>1701687.3708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18 - Jun 24'!I5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252186.881</v>
      </c>
      <c r="D6" s="73" t="n">
        <v>248213.34</v>
      </c>
      <c r="E6" s="86">
        <f>IFERROR(SUM(B6-D6)/D6,0)</f>
        <v/>
      </c>
      <c r="F6" s="73" t="n">
        <v>221748.26</v>
      </c>
      <c r="G6" s="74" t="n">
        <v>1636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6336.4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251201.5725</v>
      </c>
      <c r="D7" s="73" t="n">
        <v>206469.276</v>
      </c>
      <c r="E7" s="86">
        <f>IFERROR(SUM(B7-D7)/D7,0)</f>
        <v/>
      </c>
      <c r="F7" s="73" t="n">
        <v>261691.89</v>
      </c>
      <c r="G7" s="74" t="n">
        <v>1539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4362.05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117657.9375</v>
      </c>
      <c r="D8" s="73" t="n">
        <v>107665.4304</v>
      </c>
      <c r="E8" s="86">
        <f>IFERROR(SUM(B8-D8)/D8,0)</f>
        <v/>
      </c>
      <c r="F8" s="73" t="n">
        <v>98566.64</v>
      </c>
      <c r="G8" s="74" t="n">
        <v>720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5344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302908.275</v>
      </c>
      <c r="D9" s="73" t="n">
        <v>309815.064</v>
      </c>
      <c r="E9" s="86">
        <f>IFERROR(SUM(B9-D9)/D9,0)</f>
        <v/>
      </c>
      <c r="F9" s="73" t="n">
        <v>256409.55</v>
      </c>
      <c r="G9" s="74" t="n">
        <v>1906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12609.9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160493.5055</v>
      </c>
      <c r="D11" s="73" t="n">
        <v>148009.05</v>
      </c>
      <c r="E11" s="86">
        <f>IFERROR(SUM(B11-D11)/D11,0)</f>
        <v/>
      </c>
      <c r="F11" s="73" t="n">
        <v>133443.57</v>
      </c>
      <c r="G11" s="74" t="n">
        <v>855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7091.3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335839.8014999999</v>
      </c>
      <c r="D12" s="73" t="n">
        <v>339472.05</v>
      </c>
      <c r="E12" s="86">
        <f>IFERROR(SUM(B12-D12)/D12,0)</f>
        <v/>
      </c>
      <c r="F12" s="73" t="n">
        <v>221748.26</v>
      </c>
      <c r="G12" s="74" t="n">
        <v>1636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6336.4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122803.7275</v>
      </c>
      <c r="D13" s="73" t="n">
        <v>110395.5024</v>
      </c>
      <c r="E13" s="86">
        <f>IFERROR(SUM(B13-D13)/D13,0)</f>
        <v/>
      </c>
      <c r="F13" s="73" t="n">
        <v>95039.87</v>
      </c>
      <c r="G13" s="74" t="n">
        <v>746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6832.75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219619.4215</v>
      </c>
      <c r="D14" s="73" t="n">
        <v>163999.374</v>
      </c>
      <c r="E14" s="86">
        <f>IFERROR(SUM(B14-D14)/D14,0)</f>
        <v/>
      </c>
      <c r="F14" s="73" t="n">
        <v>172619.4</v>
      </c>
      <c r="G14" s="74" t="n">
        <v>1332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5135.801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50724.085</v>
      </c>
      <c r="D15" s="73" t="n">
        <v>67648.284</v>
      </c>
      <c r="E15" s="86">
        <f>IFERROR(SUM(B15-D15)/D15,0)</f>
        <v/>
      </c>
      <c r="F15" s="73" t="n">
        <v>36064.43</v>
      </c>
      <c r="G15" s="74" t="n">
        <v>311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1639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148960.811</v>
      </c>
      <c r="D18" s="73" t="n">
        <v>0</v>
      </c>
      <c r="E18" s="86">
        <f>IFERROR(SUM(B18-D18)/D18,0)</f>
        <v/>
      </c>
      <c r="F18" s="73" t="n">
        <v>121208.28</v>
      </c>
      <c r="G18" s="74" t="n">
        <v>1110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3215.15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131624.4345</v>
      </c>
      <c r="D19" s="73" t="n">
        <v>0</v>
      </c>
      <c r="E19" s="86">
        <f>IFERROR(SUM(B19-D19)/D19,0)</f>
        <v/>
      </c>
      <c r="F19" s="73" t="n">
        <v>107966.63</v>
      </c>
      <c r="G19" s="74" t="n">
        <v>705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3895.3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218849.554</v>
      </c>
      <c r="D20" s="73" t="n">
        <v>0</v>
      </c>
      <c r="E20" s="86">
        <f>IFERROR(SUM(B20-D20)/D20,0)</f>
        <v/>
      </c>
      <c r="F20" s="73" t="n">
        <v>166426.97</v>
      </c>
      <c r="G20" s="74" t="n">
        <v>1133</v>
      </c>
      <c r="H20" s="63">
        <f>IFERROR(B20/G20,0)</f>
        <v/>
      </c>
      <c r="I20" s="80" t="n"/>
      <c r="J20" s="80" t="n"/>
      <c r="K20" s="80" t="n"/>
      <c r="L20" s="80" t="n"/>
      <c r="M20" s="73" t="n">
        <v>6999.6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2176873.8125</v>
      </c>
      <c r="D4" s="3" t="n">
        <v>1909746.1488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#REF!+#REF!+'Jun 25 - Jul 1'!I5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255010.499</v>
      </c>
      <c r="D6" s="73" t="n">
        <v>276857.322</v>
      </c>
      <c r="E6" s="86">
        <f>IFERROR(SUM(B6-D6)/D6,0)</f>
        <v/>
      </c>
      <c r="F6" s="73" t="n">
        <v>282104.5</v>
      </c>
      <c r="G6" s="74" t="n">
        <v>1893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10715.95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300945.6735</v>
      </c>
      <c r="D7" s="73" t="n">
        <v>227719.218</v>
      </c>
      <c r="E7" s="86">
        <f>IFERROR(SUM(B7-D7)/D7,0)</f>
        <v/>
      </c>
      <c r="F7" s="73" t="n">
        <v>246232.9</v>
      </c>
      <c r="G7" s="74" t="n">
        <v>1592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5048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113351.636</v>
      </c>
      <c r="D8" s="73" t="n">
        <v>114731.652</v>
      </c>
      <c r="E8" s="86">
        <f>IFERROR(SUM(B8-D8)/D8,0)</f>
        <v/>
      </c>
      <c r="F8" s="73" t="n">
        <v>111334</v>
      </c>
      <c r="G8" s="74" t="n">
        <v>800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3864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294870.9825</v>
      </c>
      <c r="D9" s="73" t="n">
        <v>332015.4239999999</v>
      </c>
      <c r="E9" s="86">
        <f>IFERROR(SUM(B9-D9)/D9,0)</f>
        <v/>
      </c>
      <c r="F9" s="73" t="n">
        <v>358487.9</v>
      </c>
      <c r="G9" s="74" t="n">
        <v>2578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8598.549999999999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153460.1055</v>
      </c>
      <c r="D11" s="73" t="n">
        <v>193661.49</v>
      </c>
      <c r="E11" s="86">
        <f>IFERROR(SUM(B11-D11)/D11,0)</f>
        <v/>
      </c>
      <c r="F11" s="73" t="n">
        <v>130369.1</v>
      </c>
      <c r="G11" s="74" t="n">
        <v>830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8820.5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255010.499</v>
      </c>
      <c r="D12" s="73" t="n">
        <v>376781.514</v>
      </c>
      <c r="E12" s="86">
        <f>IFERROR(SUM(B12-D12)/D12,0)</f>
        <v/>
      </c>
      <c r="F12" s="73" t="n">
        <v>323958</v>
      </c>
      <c r="G12" s="74" t="n">
        <v>2138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9805.549999999999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109295.8505</v>
      </c>
      <c r="D13" s="73" t="n">
        <v>128776.908</v>
      </c>
      <c r="E13" s="86">
        <f>IFERROR(SUM(B13-D13)/D13,0)</f>
        <v/>
      </c>
      <c r="F13" s="73" t="n">
        <v>105734.4</v>
      </c>
      <c r="G13" s="74" t="n">
        <v>799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7126.9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198512.31</v>
      </c>
      <c r="D14" s="73" t="n">
        <v>191629.782</v>
      </c>
      <c r="E14" s="86">
        <f>IFERROR(SUM(B14-D14)/D14,0)</f>
        <v/>
      </c>
      <c r="F14" s="73" t="n">
        <v>198019.8</v>
      </c>
      <c r="G14" s="74" t="n">
        <v>1527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7087.1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41474.0945</v>
      </c>
      <c r="D15" s="73" t="n">
        <v>67572.8388</v>
      </c>
      <c r="E15" s="86">
        <f>IFERROR(SUM(B15-D15)/D15,0)</f>
        <v/>
      </c>
      <c r="F15" s="73" t="n">
        <v>39556.96</v>
      </c>
      <c r="G15" s="74" t="n">
        <v>412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4736.5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139389.522</v>
      </c>
      <c r="D18" s="73" t="n">
        <v>0</v>
      </c>
      <c r="E18" s="86">
        <f>IFERROR(SUM(B18-D18)/D18,0)</f>
        <v/>
      </c>
      <c r="F18" s="73" t="n">
        <v>179618.3</v>
      </c>
      <c r="G18" s="74" t="n">
        <v>2001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3585.5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124161.6245</v>
      </c>
      <c r="D19" s="73" t="n">
        <v>0</v>
      </c>
      <c r="E19" s="86">
        <f>IFERROR(SUM(B19-D19)/D19,0)</f>
        <v/>
      </c>
      <c r="F19" s="73" t="n">
        <v>120360.1</v>
      </c>
      <c r="G19" s="74" t="n">
        <v>829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7284.5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191391.0155</v>
      </c>
      <c r="D20" s="73" t="n">
        <v>0</v>
      </c>
      <c r="E20" s="86">
        <f>IFERROR(SUM(B20-D20)/D20,0)</f>
        <v/>
      </c>
      <c r="F20" s="73" t="n">
        <v>165635.2</v>
      </c>
      <c r="G20" s="74" t="n">
        <v>1104</v>
      </c>
      <c r="H20" s="63">
        <f>IFERROR(B20/G20,0)</f>
        <v/>
      </c>
      <c r="I20" s="80" t="n"/>
      <c r="J20" s="80" t="n"/>
      <c r="K20" s="80" t="n"/>
      <c r="L20" s="80" t="n"/>
      <c r="M20" s="73" t="n">
        <v>9898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2600622.834</v>
      </c>
      <c r="D4" s="3" t="n">
        <v>1730906.6652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2 - Jul 8'!I5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324420.175</v>
      </c>
      <c r="D6" s="73" t="n">
        <v>290486.478</v>
      </c>
      <c r="E6" s="86">
        <f>IFERROR(SUM(B6-D6)/D6,0)</f>
        <v/>
      </c>
      <c r="F6" s="73" t="n">
        <v>245546.09</v>
      </c>
      <c r="G6" s="74" t="n">
        <v>1735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8446.15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283167.835</v>
      </c>
      <c r="D7" s="73" t="n">
        <v>179896.104</v>
      </c>
      <c r="E7" s="86">
        <f>IFERROR(SUM(B7-D7)/D7,0)</f>
        <v/>
      </c>
      <c r="F7" s="73" t="n">
        <v>209650.3</v>
      </c>
      <c r="G7" s="74" t="n">
        <v>1227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8423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128034.1</v>
      </c>
      <c r="D8" s="73" t="n">
        <v>110253.4584</v>
      </c>
      <c r="E8" s="86">
        <f>IFERROR(SUM(B8-D8)/D8,0)</f>
        <v/>
      </c>
      <c r="F8" s="73" t="n">
        <v>95020.94</v>
      </c>
      <c r="G8" s="74" t="n">
        <v>631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9191.799999999999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412261.085</v>
      </c>
      <c r="D9" s="73" t="n">
        <v>332856.6756</v>
      </c>
      <c r="E9" s="86">
        <f>IFERROR(SUM(B9-D9)/D9,0)</f>
        <v/>
      </c>
      <c r="F9" s="73" t="n">
        <v>285855.02</v>
      </c>
      <c r="G9" s="74" t="n">
        <v>2056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11140.8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149924.465</v>
      </c>
      <c r="D11" s="73" t="n">
        <v>138932.94</v>
      </c>
      <c r="E11" s="86">
        <f>IFERROR(SUM(B11-D11)/D11,0)</f>
        <v/>
      </c>
      <c r="F11" s="73" t="n">
        <v>133920</v>
      </c>
      <c r="G11" s="74" t="n">
        <v>892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9039.700000000001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372551.7</v>
      </c>
      <c r="D12" s="73" t="n">
        <v>338414.6658</v>
      </c>
      <c r="E12" s="86">
        <f>IFERROR(SUM(B12-D12)/D12,0)</f>
        <v/>
      </c>
      <c r="F12" s="73" t="n">
        <v>294749.6</v>
      </c>
      <c r="G12" s="74" t="n">
        <v>2001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10400.55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121594.56</v>
      </c>
      <c r="D13" s="73" t="n">
        <v>106864.455</v>
      </c>
      <c r="E13" s="86">
        <f>IFERROR(SUM(B13-D13)/D13,0)</f>
        <v/>
      </c>
      <c r="F13" s="73" t="n">
        <v>96327.57000000001</v>
      </c>
      <c r="G13" s="74" t="n">
        <v>807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8722.5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227722.77</v>
      </c>
      <c r="D14" s="73" t="n">
        <v>176645.052</v>
      </c>
      <c r="E14" s="86">
        <f>IFERROR(SUM(B14-D14)/D14,0)</f>
        <v/>
      </c>
      <c r="F14" s="73" t="n">
        <v>183017.69</v>
      </c>
      <c r="G14" s="74" t="n">
        <v>1409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6055.55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45490.50399999999</v>
      </c>
      <c r="D15" s="73" t="n">
        <v>56556.8364</v>
      </c>
      <c r="E15" s="86">
        <f>IFERROR(SUM(B15-D15)/D15,0)</f>
        <v/>
      </c>
      <c r="F15" s="73" t="n">
        <v>72970.91</v>
      </c>
      <c r="G15" s="74" t="n">
        <v>622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5842.75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206561.045</v>
      </c>
      <c r="D18" s="73" t="n">
        <v>0</v>
      </c>
      <c r="E18" s="86">
        <f>IFERROR(SUM(B18-D18)/D18,0)</f>
        <v/>
      </c>
      <c r="F18" s="73" t="n">
        <v>195318.92</v>
      </c>
      <c r="G18" s="74" t="n">
        <v>1800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5348.9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138414.115</v>
      </c>
      <c r="D19" s="73" t="n">
        <v>0</v>
      </c>
      <c r="E19" s="86">
        <f>IFERROR(SUM(B19-D19)/D19,0)</f>
        <v/>
      </c>
      <c r="F19" s="73" t="n">
        <v>101240.13</v>
      </c>
      <c r="G19" s="74" t="n">
        <v>751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4670.99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190480.48</v>
      </c>
      <c r="D20" s="73" t="n">
        <v>0</v>
      </c>
      <c r="E20" s="86">
        <f>IFERROR(SUM(B20-D20)/D20,0)</f>
        <v/>
      </c>
      <c r="F20" s="73" t="n">
        <v>163217.77</v>
      </c>
      <c r="G20" s="74" t="n">
        <v>1054</v>
      </c>
      <c r="H20" s="63">
        <f>IFERROR(B20/G20,0)</f>
        <v/>
      </c>
      <c r="I20" s="80" t="n"/>
      <c r="J20" s="80" t="n"/>
      <c r="K20" s="80" t="n"/>
      <c r="L20" s="80" t="n"/>
      <c r="M20" s="73" t="n">
        <v>7361.95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hidden="1" width="9.6640625" customWidth="1" style="69" min="9" max="9"/>
    <col hidden="1" width="9.33203125" customWidth="1" style="69" min="10" max="10"/>
    <col hidden="1" width="11.5546875" customWidth="1" style="69" min="11" max="11"/>
    <col hidden="1"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>
        <v>8053.9</v>
      </c>
      <c r="I1" s="7" t="n"/>
      <c r="J1" s="7" t="n"/>
      <c r="K1" s="7" t="n"/>
      <c r="L1" s="7" t="n"/>
      <c r="M1" s="81" t="n">
        <v>1.14</v>
      </c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Promo to Date</t>
        </is>
      </c>
      <c r="K3" s="15" t="inlineStr">
        <is>
          <t>Swipes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2388360.180999999</v>
      </c>
      <c r="D4" s="3" t="n">
        <v>1775345.6892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29" t="n"/>
      <c r="L4" s="28">
        <f>J4/206494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6">
        <f>#REF!+#REF!+'Jul 9 - Jul 15'!I5</f>
        <v/>
      </c>
      <c r="K5" s="20" t="n"/>
      <c r="L5" s="28">
        <f>J5/206494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282378.0035</v>
      </c>
      <c r="D6" s="73" t="n">
        <v>261492.972</v>
      </c>
      <c r="E6" s="86">
        <f>IFERROR(SUM(B6-D6)/D6,0)</f>
        <v/>
      </c>
      <c r="F6" s="73" t="n">
        <v>256768.8</v>
      </c>
      <c r="G6" s="74" t="n">
        <v>1833</v>
      </c>
      <c r="H6" s="63">
        <f>IFERROR(B6/G6,0)</f>
        <v/>
      </c>
      <c r="I6" s="53" t="n"/>
      <c r="J6" s="54" t="n"/>
      <c r="K6" s="54" t="n"/>
      <c r="L6" s="54">
        <f>J6/18100</f>
        <v/>
      </c>
      <c r="M6" s="73" t="n">
        <v>9932.799999999999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241097.845</v>
      </c>
      <c r="D7" s="73" t="n">
        <v>203673.084</v>
      </c>
      <c r="E7" s="86">
        <f>IFERROR(SUM(B7-D7)/D7,0)</f>
        <v/>
      </c>
      <c r="F7" s="73" t="n">
        <v>210702.7</v>
      </c>
      <c r="G7" s="74" t="n">
        <v>1360</v>
      </c>
      <c r="H7" s="63">
        <f>IFERROR(B7/G7,0)</f>
        <v/>
      </c>
      <c r="I7" s="53" t="n"/>
      <c r="J7" s="54" t="n"/>
      <c r="K7" s="54" t="n"/>
      <c r="L7" s="54">
        <f>J7/19932</f>
        <v/>
      </c>
      <c r="M7" s="73" t="n">
        <v>8348.1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109274.081</v>
      </c>
      <c r="D8" s="73" t="n">
        <v>98425.90139999999</v>
      </c>
      <c r="E8" s="86">
        <f>IFERROR(SUM(B8-D8)/D8,0)</f>
        <v/>
      </c>
      <c r="F8" s="73" t="n">
        <v>89728.09</v>
      </c>
      <c r="G8" s="74" t="n">
        <v>663</v>
      </c>
      <c r="H8" s="63">
        <f>IFERROR(B8/G8,0)</f>
        <v/>
      </c>
      <c r="I8" s="53" t="n"/>
      <c r="J8" s="54" t="n"/>
      <c r="K8" s="54" t="n"/>
      <c r="L8" s="54">
        <f>J8/25490</f>
        <v/>
      </c>
      <c r="M8" s="73" t="n">
        <v>3641.6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328733.273</v>
      </c>
      <c r="D9" s="73" t="n">
        <v>325311.084</v>
      </c>
      <c r="E9" s="86">
        <f>IFERROR(SUM(B9-D9)/D9,0)</f>
        <v/>
      </c>
      <c r="F9" s="73" t="n">
        <v>301963.8</v>
      </c>
      <c r="G9" s="74" t="n">
        <v>2203</v>
      </c>
      <c r="H9" s="63">
        <f>IFERROR(B9/G9,0)</f>
        <v/>
      </c>
      <c r="I9" s="53" t="n"/>
      <c r="J9" s="54" t="n"/>
      <c r="K9" s="54" t="n"/>
      <c r="L9" s="54">
        <f>J9/10403</f>
        <v/>
      </c>
      <c r="M9" s="73" t="n">
        <v>12613.2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86">
        <f>IFERROR(SUM(B10-D10)/D10,0)</f>
        <v/>
      </c>
      <c r="F10" s="73" t="n"/>
      <c r="G10" s="74" t="n"/>
      <c r="H10" s="63">
        <f>IFERROR(B10/G10,0)</f>
        <v/>
      </c>
      <c r="I10" s="53" t="n"/>
      <c r="J10" s="54" t="n"/>
      <c r="K10" s="54" t="n"/>
      <c r="L10" s="54">
        <f>J10/22707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154008</v>
      </c>
      <c r="D11" s="73" t="n">
        <v>156693.5358</v>
      </c>
      <c r="E11" s="86">
        <f>IFERROR(SUM(B11-D11)/D11,0)</f>
        <v/>
      </c>
      <c r="F11" s="73" t="n">
        <v>146724.8</v>
      </c>
      <c r="G11" s="74" t="n">
        <v>926</v>
      </c>
      <c r="H11" s="63">
        <f>IFERROR(B11/G11,0)</f>
        <v/>
      </c>
      <c r="I11" s="53" t="n"/>
      <c r="J11" s="54" t="n"/>
      <c r="K11" s="54" t="n"/>
      <c r="L11" s="54">
        <f>J11/16449</f>
        <v/>
      </c>
      <c r="M11" s="73" t="n">
        <v>5870.6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338962.0399999999</v>
      </c>
      <c r="D12" s="73" t="n">
        <v>361336.338</v>
      </c>
      <c r="E12" s="86">
        <f>IFERROR(SUM(B12-D12)/D12,0)</f>
        <v/>
      </c>
      <c r="F12" s="73" t="n">
        <v>280855.2</v>
      </c>
      <c r="G12" s="74" t="n">
        <v>2021</v>
      </c>
      <c r="H12" s="63">
        <f>IFERROR(B12/G12,0)</f>
        <v/>
      </c>
      <c r="I12" s="53" t="n"/>
      <c r="J12" s="54" t="n"/>
      <c r="K12" s="54" t="n"/>
      <c r="L12" s="54">
        <f>J12/18426</f>
        <v/>
      </c>
      <c r="M12" s="73" t="n">
        <v>8198.299999999999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110776.7055</v>
      </c>
      <c r="D13" s="73" t="n">
        <v>124060.4772</v>
      </c>
      <c r="E13" s="86">
        <f>IFERROR(SUM(B13-D13)/D13,0)</f>
        <v/>
      </c>
      <c r="F13" s="73" t="n">
        <v>100133.5</v>
      </c>
      <c r="G13" s="74" t="n">
        <v>860</v>
      </c>
      <c r="H13" s="63">
        <f>IFERROR(B13/G13,0)</f>
        <v/>
      </c>
      <c r="I13" s="53" t="n"/>
      <c r="J13" s="54">
        <f>I13</f>
        <v/>
      </c>
      <c r="K13" s="54" t="n"/>
      <c r="L13" s="54">
        <f>J13/21444</f>
        <v/>
      </c>
      <c r="M13" s="73" t="n">
        <v>8916.15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210470.3435</v>
      </c>
      <c r="D14" s="73" t="n">
        <v>181569.3846</v>
      </c>
      <c r="E14" s="86">
        <f>IFERROR(SUM(B14-D14)/D14,0)</f>
        <v/>
      </c>
      <c r="F14" s="73" t="n">
        <v>216088.1</v>
      </c>
      <c r="G14" s="74" t="n">
        <v>1689</v>
      </c>
      <c r="H14" s="63">
        <f>IFERROR(B14/G14,0)</f>
        <v/>
      </c>
      <c r="I14" s="53" t="n"/>
      <c r="J14" s="54" t="n"/>
      <c r="K14" s="54" t="n"/>
      <c r="L14" s="54">
        <f>J14/18876</f>
        <v/>
      </c>
      <c r="M14" s="73" t="n">
        <v>7850.3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83916.5465</v>
      </c>
      <c r="D15" s="73" t="n">
        <v>62782.9122</v>
      </c>
      <c r="E15" s="86">
        <f>IFERROR(SUM(B15-D15)/D15,0)</f>
        <v/>
      </c>
      <c r="F15" s="73" t="n">
        <v>60504.6</v>
      </c>
      <c r="G15" s="74" t="n">
        <v>557</v>
      </c>
      <c r="H15" s="63">
        <f>IFERROR(B15/G15,0)</f>
        <v/>
      </c>
      <c r="I15" s="53" t="n"/>
      <c r="J15" s="54" t="n"/>
      <c r="K15" s="54" t="n"/>
      <c r="L15" s="54">
        <f>J15/15345</f>
        <v/>
      </c>
      <c r="M15" s="73" t="n">
        <v>5409.25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86" t="n"/>
      <c r="F16" s="32" t="n"/>
      <c r="G16" s="61" t="n"/>
      <c r="H16" s="63" t="n"/>
      <c r="I16" s="53" t="n"/>
      <c r="J16" s="54" t="n"/>
      <c r="K16" s="54" t="n"/>
      <c r="L16" s="54">
        <f>J16/9073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86" t="n"/>
      <c r="F17" s="32" t="n"/>
      <c r="G17" s="61" t="n"/>
      <c r="H17" s="63">
        <f>IFERROR(D17/G17,0)</f>
        <v/>
      </c>
      <c r="I17" s="73" t="n"/>
      <c r="J17" s="54" t="n"/>
      <c r="K17" s="54" t="n"/>
      <c r="L17" s="54">
        <f>J17/9249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224616.758</v>
      </c>
      <c r="D18" s="73" t="n">
        <v>0</v>
      </c>
      <c r="E18" s="86">
        <f>IFERROR(SUM(B18-D18)/D18,0)</f>
        <v/>
      </c>
      <c r="F18" s="73" t="n">
        <v>177017.5</v>
      </c>
      <c r="G18" s="74" t="n">
        <v>1582</v>
      </c>
      <c r="H18" s="63">
        <f>IFERROR(B18/G18,0)</f>
        <v/>
      </c>
      <c r="I18" s="53" t="n"/>
      <c r="J18" s="54" t="n"/>
      <c r="K18" s="54" t="n"/>
      <c r="L18" s="54">
        <f>J18/15345</f>
        <v/>
      </c>
      <c r="M18" s="73" t="n">
        <v>3293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116426.1495</v>
      </c>
      <c r="D19" s="73" t="n">
        <v>0</v>
      </c>
      <c r="E19" s="86">
        <f>IFERROR(SUM(B19-D19)/D19,0)</f>
        <v/>
      </c>
      <c r="F19" s="73" t="n">
        <v>111524.2</v>
      </c>
      <c r="G19" s="74" t="n">
        <v>806</v>
      </c>
      <c r="H19" s="63">
        <f>IFERROR(B19/G19,0)</f>
        <v/>
      </c>
      <c r="I19" s="53" t="n"/>
      <c r="J19" s="54" t="n"/>
      <c r="K19" s="54" t="n"/>
      <c r="L19" s="54">
        <f>J19/15345</f>
        <v/>
      </c>
      <c r="M19" s="73" t="n">
        <v>7838.7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187700.4355</v>
      </c>
      <c r="D20" s="73" t="n">
        <v>0</v>
      </c>
      <c r="E20" s="86">
        <f>IFERROR(SUM(B20-D20)/D20,0)</f>
        <v/>
      </c>
      <c r="F20" s="73" t="n">
        <v>159725.26</v>
      </c>
      <c r="G20" s="74" t="n">
        <v>1083</v>
      </c>
      <c r="H20" s="63">
        <f>IFERROR(B20/G20,0)</f>
        <v/>
      </c>
      <c r="I20" s="80" t="n"/>
      <c r="J20" s="80" t="n"/>
      <c r="K20" s="80" t="n"/>
      <c r="L20" s="80" t="n"/>
      <c r="M20" s="73" t="n">
        <v>9428.4</v>
      </c>
      <c r="N20" s="9" t="n"/>
    </row>
    <row r="2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81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2428497.0325</v>
      </c>
      <c r="D4" s="3" t="n">
        <v>1814137.062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46" t="n"/>
      <c r="J4" s="46" t="n"/>
      <c r="K4" s="46">
        <f>I4</f>
        <v/>
      </c>
      <c r="L4" s="28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49" t="n"/>
      <c r="J5" s="49" t="n"/>
      <c r="K5" s="46">
        <f>I5</f>
        <v/>
      </c>
      <c r="L5" s="28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295284.1199999999</v>
      </c>
      <c r="D6" s="73" t="n">
        <v>251348.682</v>
      </c>
      <c r="E6" s="77">
        <f>IFERROR(SUM(B6-D6)/D6,0)</f>
        <v/>
      </c>
      <c r="F6" s="73" t="n">
        <v>217395.42</v>
      </c>
      <c r="G6" s="74" t="n">
        <v>1509</v>
      </c>
      <c r="H6" s="63">
        <f>IFERROR(B6/G6,0)</f>
        <v/>
      </c>
      <c r="I6" s="53" t="n"/>
      <c r="J6" s="53" t="n"/>
      <c r="K6" s="46">
        <f>I6</f>
        <v/>
      </c>
      <c r="L6" s="28">
        <f>K6/G6</f>
        <v/>
      </c>
      <c r="M6" s="73" t="n">
        <v>9557.93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242308.105</v>
      </c>
      <c r="D7" s="73" t="n">
        <v>200063.844</v>
      </c>
      <c r="E7" s="77">
        <f>IFERROR(SUM(B7-D7)/D7,0)</f>
        <v/>
      </c>
      <c r="F7" s="73" t="n">
        <v>205685.39</v>
      </c>
      <c r="G7" s="74" t="n">
        <v>1599</v>
      </c>
      <c r="H7" s="63">
        <f>IFERROR(B7/G7,0)</f>
        <v/>
      </c>
      <c r="I7" s="53" t="n"/>
      <c r="J7" s="53" t="n"/>
      <c r="K7" s="46">
        <f>I7</f>
        <v/>
      </c>
      <c r="L7" s="28">
        <f>K7/G7</f>
        <v/>
      </c>
      <c r="M7" s="73" t="n">
        <v>6806.25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103187.3035</v>
      </c>
      <c r="D8" s="73" t="n">
        <v>125206.542</v>
      </c>
      <c r="E8" s="77">
        <f>IFERROR(SUM(B8-D8)/D8,0)</f>
        <v/>
      </c>
      <c r="F8" s="73" t="n">
        <v>86864.53</v>
      </c>
      <c r="G8" s="74" t="n">
        <v>635</v>
      </c>
      <c r="H8" s="63">
        <f>IFERROR(B8/G8,0)</f>
        <v/>
      </c>
      <c r="I8" s="53" t="n"/>
      <c r="J8" s="53" t="n"/>
      <c r="K8" s="46">
        <f>I8</f>
        <v/>
      </c>
      <c r="L8" s="28">
        <f>K8/G8</f>
        <v/>
      </c>
      <c r="M8" s="73" t="n">
        <v>3648.75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347258.3699999999</v>
      </c>
      <c r="D9" s="73" t="n">
        <v>364647.5819999999</v>
      </c>
      <c r="E9" s="77">
        <f>IFERROR(SUM(B9-D9)/D9,0)</f>
        <v/>
      </c>
      <c r="F9" s="73" t="n">
        <v>313752.77</v>
      </c>
      <c r="G9" s="74" t="n">
        <v>2167</v>
      </c>
      <c r="H9" s="63">
        <f>IFERROR(B9/G9,0)</f>
        <v/>
      </c>
      <c r="I9" s="53" t="n"/>
      <c r="J9" s="53" t="n"/>
      <c r="K9" s="46">
        <f>I9</f>
        <v/>
      </c>
      <c r="L9" s="28">
        <f>K9/G9</f>
        <v/>
      </c>
      <c r="M9" s="73" t="n">
        <v>10360.5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53" t="n"/>
      <c r="J10" s="53" t="n"/>
      <c r="K10" s="46">
        <f>I10</f>
        <v/>
      </c>
      <c r="L10" s="28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168733.52</v>
      </c>
      <c r="D11" s="73" t="n">
        <v>159800.298</v>
      </c>
      <c r="E11" s="77">
        <f>IFERROR(SUM(B11-D11)/D11,0)</f>
        <v/>
      </c>
      <c r="F11" s="73" t="n">
        <v>137485.14</v>
      </c>
      <c r="G11" s="74" t="n">
        <v>884</v>
      </c>
      <c r="H11" s="63">
        <f>IFERROR(B11/G11,0)</f>
        <v/>
      </c>
      <c r="I11" s="53" t="n"/>
      <c r="J11" s="53" t="n"/>
      <c r="K11" s="46">
        <f>I11</f>
        <v/>
      </c>
      <c r="L11" s="28">
        <f>K11/G11</f>
        <v/>
      </c>
      <c r="M11" s="73" t="n">
        <v>4731.5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322983.48</v>
      </c>
      <c r="D12" s="73" t="n">
        <v>334666.836</v>
      </c>
      <c r="E12" s="77">
        <f>IFERROR(SUM(B12-D12)/D12,0)</f>
        <v/>
      </c>
      <c r="F12" s="73" t="n">
        <v>334025.02</v>
      </c>
      <c r="G12" s="74" t="n">
        <v>2141</v>
      </c>
      <c r="H12" s="63">
        <f>IFERROR(B12/G12,0)</f>
        <v/>
      </c>
      <c r="I12" s="53" t="n"/>
      <c r="J12" s="53" t="n"/>
      <c r="K12" s="46">
        <f>I12</f>
        <v/>
      </c>
      <c r="L12" s="28">
        <f>K12/G12</f>
        <v/>
      </c>
      <c r="M12" s="73" t="n">
        <v>11220.35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115153.525</v>
      </c>
      <c r="D13" s="73" t="n">
        <v>135374.658</v>
      </c>
      <c r="E13" s="77">
        <f>IFERROR(SUM(B13-D13)/D13,0)</f>
        <v/>
      </c>
      <c r="F13" s="73" t="n">
        <v>109291.87</v>
      </c>
      <c r="G13" s="74" t="n">
        <v>914</v>
      </c>
      <c r="H13" s="63">
        <f>IFERROR(B13/G13,0)</f>
        <v/>
      </c>
      <c r="I13" s="53" t="n"/>
      <c r="J13" s="53" t="n"/>
      <c r="K13" s="46">
        <f>I13</f>
        <v/>
      </c>
      <c r="L13" s="28">
        <f>K13/G13</f>
        <v/>
      </c>
      <c r="M13" s="73" t="n">
        <v>10139.25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248501.315</v>
      </c>
      <c r="D14" s="73" t="n">
        <v>180191.364</v>
      </c>
      <c r="E14" s="77">
        <f>IFERROR(SUM(B14-D14)/D14,0)</f>
        <v/>
      </c>
      <c r="F14" s="73" t="n">
        <v>187408.16</v>
      </c>
      <c r="G14" s="74" t="n">
        <v>1459</v>
      </c>
      <c r="H14" s="63">
        <f>IFERROR(B14/G14,0)</f>
        <v/>
      </c>
      <c r="I14" s="53" t="n"/>
      <c r="J14" s="53" t="n"/>
      <c r="K14" s="46">
        <f>I14</f>
        <v/>
      </c>
      <c r="L14" s="28">
        <f>K14/G14</f>
        <v/>
      </c>
      <c r="M14" s="73" t="n">
        <v>6717.6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69580.28999999999</v>
      </c>
      <c r="D15" s="73" t="n">
        <v>62837.25599999999</v>
      </c>
      <c r="E15" s="77">
        <f>IFERROR(SUM(B15-D15)/D15,0)</f>
        <v/>
      </c>
      <c r="F15" s="73" t="n">
        <v>68417.16</v>
      </c>
      <c r="G15" s="74" t="n">
        <v>587</v>
      </c>
      <c r="H15" s="63">
        <f>IFERROR(B15/G15,0)</f>
        <v/>
      </c>
      <c r="I15" s="53" t="n"/>
      <c r="J15" s="53" t="n"/>
      <c r="K15" s="46">
        <f>I15</f>
        <v/>
      </c>
      <c r="L15" s="28">
        <f>K15/G15</f>
        <v/>
      </c>
      <c r="M15" s="73" t="n">
        <v>8506.25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53" t="n"/>
      <c r="J16" s="53" t="n"/>
      <c r="K16" s="46">
        <f>I16</f>
        <v/>
      </c>
      <c r="L16" s="28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3" t="n"/>
      <c r="J17" s="73" t="n"/>
      <c r="K17" s="46">
        <f>I17</f>
        <v/>
      </c>
      <c r="L17" s="28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203570.125</v>
      </c>
      <c r="D18" s="73" t="n">
        <v>0</v>
      </c>
      <c r="E18" s="77">
        <f>IFERROR(SUM(B18-D18)/D18,0)</f>
        <v/>
      </c>
      <c r="F18" s="73" t="n">
        <v>131760.91</v>
      </c>
      <c r="G18" s="74" t="n">
        <v>1145</v>
      </c>
      <c r="H18" s="63">
        <f>IFERROR(B18/G18,0)</f>
        <v/>
      </c>
      <c r="I18" s="53" t="n"/>
      <c r="J18" s="53" t="n"/>
      <c r="K18" s="46">
        <f>I18</f>
        <v/>
      </c>
      <c r="L18" s="28">
        <f>K18/G18</f>
        <v/>
      </c>
      <c r="M18" s="73" t="n">
        <v>3353.8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128252.83</v>
      </c>
      <c r="D19" s="73" t="n">
        <v>0</v>
      </c>
      <c r="E19" s="77">
        <f>IFERROR(SUM(B19-D19)/D19,0)</f>
        <v/>
      </c>
      <c r="F19" s="73" t="n">
        <v>100114.61</v>
      </c>
      <c r="G19" s="74" t="n">
        <v>696</v>
      </c>
      <c r="H19" s="63">
        <f>IFERROR(B19/G19,0)</f>
        <v/>
      </c>
      <c r="I19" s="53" t="n"/>
      <c r="J19" s="53" t="n"/>
      <c r="K19" s="46">
        <f>I19</f>
        <v/>
      </c>
      <c r="L19" s="28">
        <f>K19/G19</f>
        <v/>
      </c>
      <c r="M19" s="73" t="n">
        <v>14884.3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183684.049</v>
      </c>
      <c r="D20" s="73" t="n">
        <v>0</v>
      </c>
      <c r="E20" s="77">
        <f>IFERROR(SUM(B20-D20)/D20,0)</f>
        <v/>
      </c>
      <c r="F20" s="73" t="n">
        <v>160738.37</v>
      </c>
      <c r="G20" s="74" t="n">
        <v>1190</v>
      </c>
      <c r="H20" s="63">
        <f>IFERROR(B20/G20,0)</f>
        <v/>
      </c>
      <c r="I20" s="80" t="n"/>
      <c r="J20" s="80" t="n"/>
      <c r="K20" s="46">
        <f>I20</f>
        <v/>
      </c>
      <c r="L20" s="28">
        <f>K20/G20</f>
        <v/>
      </c>
      <c r="M20" s="73" t="n">
        <v>9212.950000000001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3.332031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2360880.2525</v>
      </c>
      <c r="D4" s="3" t="n">
        <v>1814460.5484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K4/G4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K5/G5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250004.733</v>
      </c>
      <c r="D6" s="73" t="n">
        <v>227359.092</v>
      </c>
      <c r="E6" s="77">
        <f>IFERROR(SUM(B6-D6)/D6,0)</f>
        <v/>
      </c>
      <c r="F6" s="73" t="n">
        <v>250543</v>
      </c>
      <c r="G6" s="74" t="n">
        <v>1731</v>
      </c>
      <c r="H6" s="63">
        <f>IFERROR(B6/G6,0)</f>
        <v/>
      </c>
      <c r="I6" s="61" t="n">
        <v>16</v>
      </c>
      <c r="J6" s="28">
        <f>I6/G6</f>
        <v/>
      </c>
      <c r="K6" s="46">
        <f>I6</f>
        <v/>
      </c>
      <c r="L6" s="89">
        <f>K6/G6</f>
        <v/>
      </c>
      <c r="M6" s="73" t="n">
        <v>7623.4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236538.1985</v>
      </c>
      <c r="D7" s="73" t="n">
        <v>199465.914</v>
      </c>
      <c r="E7" s="77">
        <f>IFERROR(SUM(B7-D7)/D7,0)</f>
        <v/>
      </c>
      <c r="F7" s="73" t="n">
        <v>181186.84</v>
      </c>
      <c r="G7" s="74" t="n">
        <v>1226</v>
      </c>
      <c r="H7" s="63">
        <f>IFERROR(B7/G7,0)</f>
        <v/>
      </c>
      <c r="I7" s="61" t="n">
        <v>5</v>
      </c>
      <c r="J7" s="28">
        <f>I7/G7</f>
        <v/>
      </c>
      <c r="K7" s="46">
        <f>I7</f>
        <v/>
      </c>
      <c r="L7" s="89">
        <f>K7/G7</f>
        <v/>
      </c>
      <c r="M7" s="73" t="n">
        <v>6277.4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99894.2095</v>
      </c>
      <c r="D8" s="73" t="n">
        <v>138165.15</v>
      </c>
      <c r="E8" s="77">
        <f>IFERROR(SUM(B8-D8)/D8,0)</f>
        <v/>
      </c>
      <c r="F8" s="73" t="n">
        <v>123620.4</v>
      </c>
      <c r="G8" s="74" t="n">
        <v>918</v>
      </c>
      <c r="H8" s="63">
        <f>IFERROR(B8/G8,0)</f>
        <v/>
      </c>
      <c r="I8" s="61" t="n">
        <v>8</v>
      </c>
      <c r="J8" s="28">
        <f>I8/G8</f>
        <v/>
      </c>
      <c r="K8" s="46">
        <f>I8</f>
        <v/>
      </c>
      <c r="L8" s="89">
        <f>K8/G8</f>
        <v/>
      </c>
      <c r="M8" s="73" t="n">
        <v>4387.25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360815.6855</v>
      </c>
      <c r="D9" s="73" t="n">
        <v>349565.496</v>
      </c>
      <c r="E9" s="77">
        <f>IFERROR(SUM(B9-D9)/D9,0)</f>
        <v/>
      </c>
      <c r="F9" s="73" t="n">
        <v>337196.93</v>
      </c>
      <c r="G9" s="74" t="n">
        <v>2526</v>
      </c>
      <c r="H9" s="63">
        <f>IFERROR(B9/G9,0)</f>
        <v/>
      </c>
      <c r="I9" s="61" t="n">
        <v>20</v>
      </c>
      <c r="J9" s="28">
        <f>I9/G9</f>
        <v/>
      </c>
      <c r="K9" s="46">
        <f>I9</f>
        <v/>
      </c>
      <c r="L9" s="89">
        <f>K9/G9</f>
        <v/>
      </c>
      <c r="M9" s="73" t="n">
        <v>8061.1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K10/G10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158107.911</v>
      </c>
      <c r="D11" s="73" t="n">
        <v>159906.774</v>
      </c>
      <c r="E11" s="77">
        <f>IFERROR(SUM(B11-D11)/D11,0)</f>
        <v/>
      </c>
      <c r="F11" s="73" t="n">
        <v>159174.91</v>
      </c>
      <c r="G11" s="74" t="n">
        <v>1013</v>
      </c>
      <c r="H11" s="63">
        <f>IFERROR(B11/G11,0)</f>
        <v/>
      </c>
      <c r="I11" s="61" t="n">
        <v>84</v>
      </c>
      <c r="J11" s="28">
        <f>I11/G11</f>
        <v/>
      </c>
      <c r="K11" s="46">
        <f>I11</f>
        <v/>
      </c>
      <c r="L11" s="89">
        <f>K11/G11</f>
        <v/>
      </c>
      <c r="M11" s="73" t="n">
        <v>3315.8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384128.773</v>
      </c>
      <c r="D12" s="73" t="n">
        <v>374137.968</v>
      </c>
      <c r="E12" s="77">
        <f>IFERROR(SUM(B12-D12)/D12,0)</f>
        <v/>
      </c>
      <c r="F12" s="73" t="n">
        <v>358332</v>
      </c>
      <c r="G12" s="74" t="n">
        <v>2429</v>
      </c>
      <c r="H12" s="63">
        <f>IFERROR(B12/G12,0)</f>
        <v/>
      </c>
      <c r="I12" s="61" t="n">
        <v>36</v>
      </c>
      <c r="J12" s="28">
        <f>I12/G12</f>
        <v/>
      </c>
      <c r="K12" s="46">
        <f>I12</f>
        <v/>
      </c>
      <c r="L12" s="89">
        <f>K12/G12</f>
        <v/>
      </c>
      <c r="M12" s="73" t="n">
        <v>10412.5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125685.6505</v>
      </c>
      <c r="D13" s="73" t="n">
        <v>137934.3</v>
      </c>
      <c r="E13" s="77">
        <f>IFERROR(SUM(B13-D13)/D13,0)</f>
        <v/>
      </c>
      <c r="F13" s="73" t="n">
        <v>115750.62</v>
      </c>
      <c r="G13" s="74" t="n">
        <v>951</v>
      </c>
      <c r="H13" s="63">
        <f>IFERROR(B13/G13,0)</f>
        <v/>
      </c>
      <c r="I13" s="61" t="n">
        <v>6</v>
      </c>
      <c r="J13" s="28">
        <f>I13/G13</f>
        <v/>
      </c>
      <c r="K13" s="46">
        <f>I13</f>
        <v/>
      </c>
      <c r="L13" s="89">
        <f>K13/G13</f>
        <v/>
      </c>
      <c r="M13" s="73" t="n">
        <v>9081.299999999999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215519.384</v>
      </c>
      <c r="D14" s="73" t="n">
        <v>173729.16</v>
      </c>
      <c r="E14" s="77">
        <f>IFERROR(SUM(B14-D14)/D14,0)</f>
        <v/>
      </c>
      <c r="F14" s="73" t="n">
        <v>194552</v>
      </c>
      <c r="G14" s="74" t="n">
        <v>1503</v>
      </c>
      <c r="H14" s="63">
        <f>IFERROR(B14/G14,0)</f>
        <v/>
      </c>
      <c r="I14" s="61" t="n">
        <v>26</v>
      </c>
      <c r="J14" s="28">
        <f>I14/G14</f>
        <v/>
      </c>
      <c r="K14" s="46">
        <f>I14</f>
        <v/>
      </c>
      <c r="L14" s="89">
        <f>K14/G14</f>
        <v/>
      </c>
      <c r="M14" s="73" t="n">
        <v>8018.25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78679.734</v>
      </c>
      <c r="D15" s="73" t="n">
        <v>54196.69439999999</v>
      </c>
      <c r="E15" s="77">
        <f>IFERROR(SUM(B15-D15)/D15,0)</f>
        <v/>
      </c>
      <c r="F15" s="73" t="n">
        <v>66720.10000000001</v>
      </c>
      <c r="G15" s="74" t="n">
        <v>519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K15/G15</f>
        <v/>
      </c>
      <c r="M15" s="73" t="n">
        <v>995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K16/G16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K17/G17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151525.0465</v>
      </c>
      <c r="D18" s="73" t="n">
        <v>0</v>
      </c>
      <c r="E18" s="77">
        <f>IFERROR(SUM(B18-D18)/D18,0)</f>
        <v/>
      </c>
      <c r="F18" s="73" t="n">
        <v>125329</v>
      </c>
      <c r="G18" s="74" t="n">
        <v>1136</v>
      </c>
      <c r="H18" s="63">
        <f>IFERROR(B18/G18,0)</f>
        <v/>
      </c>
      <c r="I18" s="61" t="n">
        <v>26</v>
      </c>
      <c r="J18" s="28">
        <f>I18/G18</f>
        <v/>
      </c>
      <c r="K18" s="46">
        <f>I18</f>
        <v/>
      </c>
      <c r="L18" s="89">
        <f>K18/G18</f>
        <v/>
      </c>
      <c r="M18" s="73" t="n">
        <v>3553.6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115131.8015</v>
      </c>
      <c r="D19" s="73" t="n">
        <v>0</v>
      </c>
      <c r="E19" s="77">
        <f>IFERROR(SUM(B19-D19)/D19,0)</f>
        <v/>
      </c>
      <c r="F19" s="73" t="n">
        <v>112551.33</v>
      </c>
      <c r="G19" s="74" t="n">
        <v>734</v>
      </c>
      <c r="H19" s="63">
        <f>IFERROR(B19/G19,0)</f>
        <v/>
      </c>
      <c r="I19" s="61" t="n">
        <v>10</v>
      </c>
      <c r="J19" s="28">
        <f>I19/G19</f>
        <v/>
      </c>
      <c r="K19" s="46">
        <f>I19</f>
        <v/>
      </c>
      <c r="L19" s="89">
        <f>K19/G19</f>
        <v/>
      </c>
      <c r="M19" s="73" t="n">
        <v>7450.4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184849.1255</v>
      </c>
      <c r="D20" s="73" t="n">
        <v>0</v>
      </c>
      <c r="E20" s="77">
        <f>IFERROR(SUM(B20-D20)/D20,0)</f>
        <v/>
      </c>
      <c r="F20" s="73" t="n">
        <v>185885</v>
      </c>
      <c r="G20" s="74" t="n">
        <v>1262</v>
      </c>
      <c r="H20" s="63">
        <f>IFERROR(B20/G20,0)</f>
        <v/>
      </c>
      <c r="I20" s="74" t="n">
        <v>11</v>
      </c>
      <c r="J20" s="28">
        <f>I20/G20</f>
        <v/>
      </c>
      <c r="K20" s="46">
        <f>I20</f>
        <v/>
      </c>
      <c r="L20" s="89">
        <f>K20/G20</f>
        <v/>
      </c>
      <c r="M20" s="73" t="n">
        <v>5496.65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3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2542468.4495</v>
      </c>
      <c r="D4" s="3" t="n">
        <v>1740025.89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</f>
        <v/>
      </c>
      <c r="L4" s="89">
        <f>K4/SUM(G4+'Jul 23 - Jul 29'!G4)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</f>
        <v/>
      </c>
      <c r="L5" s="89">
        <f>K5/SUM(G5+'Jul 23 - Jul 29'!G5)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288124.45</v>
      </c>
      <c r="D6" s="73" t="n">
        <v>195643.0038</v>
      </c>
      <c r="E6" s="77">
        <f>IFERROR(SUM(B6-D6)/D6,0)</f>
        <v/>
      </c>
      <c r="F6" s="73" t="n">
        <v>233832.48</v>
      </c>
      <c r="G6" s="74" t="n">
        <v>1589</v>
      </c>
      <c r="H6" s="63">
        <f>IFERROR(B6/G6,0)</f>
        <v/>
      </c>
      <c r="I6" s="61" t="n">
        <v>33</v>
      </c>
      <c r="J6" s="28">
        <f>I6/G6</f>
        <v/>
      </c>
      <c r="K6" s="46">
        <f>I6+'Jul 23 - Jul 29'!I6</f>
        <v/>
      </c>
      <c r="L6" s="89">
        <f>K6/SUM(G6+'Jul 23 - Jul 29'!G6)</f>
        <v/>
      </c>
      <c r="M6" s="73" t="n">
        <v>7875.2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208364.866</v>
      </c>
      <c r="D7" s="73" t="n">
        <v>176425.488</v>
      </c>
      <c r="E7" s="77">
        <f>IFERROR(SUM(B7-D7)/D7,0)</f>
        <v/>
      </c>
      <c r="F7" s="73" t="n">
        <v>172949.61</v>
      </c>
      <c r="G7" s="74" t="n">
        <v>1185</v>
      </c>
      <c r="H7" s="63">
        <f>IFERROR(B7/G7,0)</f>
        <v/>
      </c>
      <c r="I7" s="61" t="n">
        <v>1</v>
      </c>
      <c r="J7" s="28">
        <f>I7/G7</f>
        <v/>
      </c>
      <c r="K7" s="46">
        <f>I7+'Jul 23 - Jul 29'!I7</f>
        <v/>
      </c>
      <c r="L7" s="89">
        <f>K7/SUM(G7+'Jul 23 - Jul 29'!G7)</f>
        <v/>
      </c>
      <c r="M7" s="73" t="n">
        <v>6357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142163.46</v>
      </c>
      <c r="D8" s="73" t="n">
        <v>121027.758</v>
      </c>
      <c r="E8" s="77">
        <f>IFERROR(SUM(B8-D8)/D8,0)</f>
        <v/>
      </c>
      <c r="F8" s="73" t="n">
        <v>111199.51</v>
      </c>
      <c r="G8" s="74" t="n">
        <v>821</v>
      </c>
      <c r="H8" s="63">
        <f>IFERROR(B8/G8,0)</f>
        <v/>
      </c>
      <c r="I8" s="61" t="n">
        <v>11</v>
      </c>
      <c r="J8" s="28">
        <f>I8/G8</f>
        <v/>
      </c>
      <c r="K8" s="46">
        <f>I8+'Jul 23 - Jul 29'!I8</f>
        <v/>
      </c>
      <c r="L8" s="89">
        <f>K8/SUM(G8+'Jul 23 - Jul 29'!G8)</f>
        <v/>
      </c>
      <c r="M8" s="73" t="n">
        <v>6504.45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387776.4694999999</v>
      </c>
      <c r="D9" s="73" t="n">
        <v>437278.122</v>
      </c>
      <c r="E9" s="77">
        <f>IFERROR(SUM(B9-D9)/D9,0)</f>
        <v/>
      </c>
      <c r="F9" s="73" t="n">
        <v>385919.95</v>
      </c>
      <c r="G9" s="74" t="n">
        <v>2264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</f>
        <v/>
      </c>
      <c r="L9" s="89">
        <f>K9/SUM(G9+'Jul 23 - Jul 29'!G9)</f>
        <v/>
      </c>
      <c r="M9" s="73" t="n">
        <v>9018.4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</f>
        <v/>
      </c>
      <c r="L10" s="89">
        <f>K10/SUM(G10+'Jul 23 - Jul 29'!G10)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183051.1465</v>
      </c>
      <c r="D11" s="73" t="n">
        <v>142579.572</v>
      </c>
      <c r="E11" s="77">
        <f>IFERROR(SUM(B11-D11)/D11,0)</f>
        <v/>
      </c>
      <c r="F11" s="73" t="n">
        <v>172402.92</v>
      </c>
      <c r="G11" s="74" t="n">
        <v>1234</v>
      </c>
      <c r="H11" s="63">
        <f>IFERROR(B11/G11,0)</f>
        <v/>
      </c>
      <c r="I11" s="61" t="n">
        <v>29</v>
      </c>
      <c r="J11" s="28">
        <f>I11/G11</f>
        <v/>
      </c>
      <c r="K11" s="46">
        <f>I11+'Jul 23 - Jul 29'!I11</f>
        <v/>
      </c>
      <c r="L11" s="89">
        <f>K11/SUM(G11+'Jul 23 - Jul 29'!G11)</f>
        <v/>
      </c>
      <c r="M11" s="73" t="n">
        <v>6014.64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412081.8</v>
      </c>
      <c r="D12" s="73" t="n">
        <v>332026.254</v>
      </c>
      <c r="E12" s="77">
        <f>IFERROR(SUM(B12-D12)/D12,0)</f>
        <v/>
      </c>
      <c r="F12" s="73" t="n">
        <v>302155.05</v>
      </c>
      <c r="G12" s="74" t="n">
        <v>2217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</f>
        <v/>
      </c>
      <c r="L12" s="89">
        <f>K12/SUM(G12+'Jul 23 - Jul 29'!G12)</f>
        <v/>
      </c>
      <c r="M12" s="73" t="n">
        <v>10314.65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133113.213</v>
      </c>
      <c r="D13" s="73" t="n">
        <v>112176.4674</v>
      </c>
      <c r="E13" s="77">
        <f>IFERROR(SUM(B13-D13)/D13,0)</f>
        <v/>
      </c>
      <c r="F13" s="73" t="n">
        <v>115565.63</v>
      </c>
      <c r="G13" s="74" t="n">
        <v>937</v>
      </c>
      <c r="H13" s="63">
        <f>IFERROR(B13/G13,0)</f>
        <v/>
      </c>
      <c r="I13" s="61" t="n">
        <v>7</v>
      </c>
      <c r="J13" s="28">
        <f>I13/G13</f>
        <v/>
      </c>
      <c r="K13" s="46">
        <f>I13+'Jul 23 - Jul 29'!I13</f>
        <v/>
      </c>
      <c r="L13" s="89">
        <f>K13/SUM(G13+'Jul 23 - Jul 29'!G13)</f>
        <v/>
      </c>
      <c r="M13" s="73" t="n">
        <v>8496.75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223734.8</v>
      </c>
      <c r="D14" s="73" t="n">
        <v>164502.114</v>
      </c>
      <c r="E14" s="77">
        <f>IFERROR(SUM(B14-D14)/D14,0)</f>
        <v/>
      </c>
      <c r="F14" s="73" t="n">
        <v>205902.87</v>
      </c>
      <c r="G14" s="74" t="n">
        <v>1491</v>
      </c>
      <c r="H14" s="63">
        <f>IFERROR(B14/G14,0)</f>
        <v/>
      </c>
      <c r="I14" s="61" t="n">
        <v>26</v>
      </c>
      <c r="J14" s="28">
        <f>I14/G14</f>
        <v/>
      </c>
      <c r="K14" s="46">
        <f>I14+'Jul 23 - Jul 29'!I14</f>
        <v/>
      </c>
      <c r="L14" s="89">
        <f>K14/SUM(G14+'Jul 23 - Jul 29'!G14)</f>
        <v/>
      </c>
      <c r="M14" s="73" t="n">
        <v>5406.9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76728.11500000001</v>
      </c>
      <c r="D15" s="73" t="n">
        <v>58367.11079999999</v>
      </c>
      <c r="E15" s="77">
        <f>IFERROR(SUM(B15-D15)/D15,0)</f>
        <v/>
      </c>
      <c r="F15" s="73" t="n">
        <v>63695.61</v>
      </c>
      <c r="G15" s="74" t="n">
        <v>551</v>
      </c>
      <c r="H15" s="63">
        <f>IFERROR(B15/G15,0)</f>
        <v/>
      </c>
      <c r="I15" s="61" t="n">
        <v>1</v>
      </c>
      <c r="J15" s="28">
        <f>I15/G15</f>
        <v/>
      </c>
      <c r="K15" s="46">
        <f>I15+'Jul 23 - Jul 29'!I15</f>
        <v/>
      </c>
      <c r="L15" s="89">
        <f>K15/SUM(G15+'Jul 23 - Jul 29'!G15)</f>
        <v/>
      </c>
      <c r="M15" s="73" t="n">
        <v>4313.5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</f>
        <v/>
      </c>
      <c r="L16" s="89">
        <f>K16/SUM(G16+'Jul 23 - Jul 29'!G16)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</f>
        <v/>
      </c>
      <c r="L17" s="89">
        <f>K17/SUM(G17+'Jul 23 - Jul 29'!G17)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144128.35</v>
      </c>
      <c r="D18" s="73" t="n">
        <v>0</v>
      </c>
      <c r="E18" s="77">
        <f>IFERROR(SUM(B18-D18)/D18,0)</f>
        <v/>
      </c>
      <c r="F18" s="73" t="n">
        <v>125489.25</v>
      </c>
      <c r="G18" s="74" t="n">
        <v>1072</v>
      </c>
      <c r="H18" s="63">
        <f>IFERROR(B18/G18,0)</f>
        <v/>
      </c>
      <c r="I18" s="61" t="n">
        <v>19</v>
      </c>
      <c r="J18" s="28">
        <f>I18/G18</f>
        <v/>
      </c>
      <c r="K18" s="46">
        <f>I18+'Jul 23 - Jul 29'!I18</f>
        <v/>
      </c>
      <c r="L18" s="89">
        <f>K18/SUM(G18+'Jul 23 - Jul 29'!G18)</f>
        <v/>
      </c>
      <c r="M18" s="73" t="n">
        <v>3075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129434.0295</v>
      </c>
      <c r="D19" s="73" t="n">
        <v>0</v>
      </c>
      <c r="E19" s="77">
        <f>IFERROR(SUM(B19-D19)/D19,0)</f>
        <v/>
      </c>
      <c r="F19" s="73" t="n">
        <v>115125.41</v>
      </c>
      <c r="G19" s="74" t="n">
        <v>804</v>
      </c>
      <c r="H19" s="63">
        <f>IFERROR(B19/G19,0)</f>
        <v/>
      </c>
      <c r="I19" s="61" t="n">
        <v>7</v>
      </c>
      <c r="J19" s="28">
        <f>I19/G19</f>
        <v/>
      </c>
      <c r="K19" s="46">
        <f>I19+'Jul 23 - Jul 29'!I19</f>
        <v/>
      </c>
      <c r="L19" s="89">
        <f>K19/SUM(G19+'Jul 23 - Jul 29'!G19)</f>
        <v/>
      </c>
      <c r="M19" s="73" t="n">
        <v>6906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213767.75</v>
      </c>
      <c r="D20" s="73" t="n">
        <v>0</v>
      </c>
      <c r="E20" s="77">
        <f>IFERROR(SUM(B20-D20)/D20,0)</f>
        <v/>
      </c>
      <c r="F20" s="73" t="n">
        <v>197995.06</v>
      </c>
      <c r="G20" s="74" t="n">
        <v>1311</v>
      </c>
      <c r="H20" s="63">
        <f>IFERROR(B20/G20,0)</f>
        <v/>
      </c>
      <c r="I20" s="74" t="n">
        <v>32</v>
      </c>
      <c r="J20" s="28">
        <f>I20/G20</f>
        <v/>
      </c>
      <c r="K20" s="46">
        <f>I20+'Jul 23 - Jul 29'!I20</f>
        <v/>
      </c>
      <c r="L20" s="89">
        <f>K20/SUM(G20+'Jul 23 - Jul 29'!G20)</f>
        <v/>
      </c>
      <c r="M20" s="73" t="n">
        <v>7311.55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2532568.3525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</f>
        <v/>
      </c>
      <c r="L4" s="89">
        <f>K4/SUM(G4+'Jul 23 - Jul 29'!G4+'Jul 30 - Aug 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</f>
        <v/>
      </c>
      <c r="L5" s="89">
        <f>K5/SUM(G5+'Jul 23 - Jul 29'!G5+'Jul 30 - Aug 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268907.352</v>
      </c>
      <c r="D6" s="73" t="n">
        <v>254404.452</v>
      </c>
      <c r="E6" s="77">
        <f>IFERROR(SUM(B6-D6)/D6,0)</f>
        <v/>
      </c>
      <c r="F6" s="73" t="n">
        <v>282687.6</v>
      </c>
      <c r="G6" s="74" t="n">
        <v>1948</v>
      </c>
      <c r="H6" s="63">
        <f>IFERROR(B6/G6,0)</f>
        <v/>
      </c>
      <c r="I6" s="61" t="n">
        <v>12</v>
      </c>
      <c r="J6" s="28">
        <f>I6/G6</f>
        <v/>
      </c>
      <c r="K6" s="46">
        <f>I6+'Jul 23 - Jul 29'!I6+'Jul 30 - Aug 5'!I6</f>
        <v/>
      </c>
      <c r="L6" s="89">
        <f>K6/SUM(G6+'Jul 23 - Jul 29'!G6+'Jul 30 - Aug 5'!G6)</f>
        <v/>
      </c>
      <c r="M6" s="73" t="n">
        <v>6871.05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198892.0515</v>
      </c>
      <c r="D7" s="73" t="n">
        <v>216526.983</v>
      </c>
      <c r="E7" s="77">
        <f>IFERROR(SUM(B7-D7)/D7,0)</f>
        <v/>
      </c>
      <c r="F7" s="73" t="n">
        <v>163472.6</v>
      </c>
      <c r="G7" s="74" t="n">
        <v>1010</v>
      </c>
      <c r="H7" s="63">
        <f>IFERROR(B7/G7,0)</f>
        <v/>
      </c>
      <c r="I7" s="61" t="n">
        <v>13</v>
      </c>
      <c r="J7" s="28">
        <f>I7/G7</f>
        <v/>
      </c>
      <c r="K7" s="46">
        <f>I7+'Jul 23 - Jul 29'!I7+'Jul 30 - Aug 5'!I7</f>
        <v/>
      </c>
      <c r="L7" s="89">
        <f>K7/SUM(G7+'Jul 23 - Jul 29'!G7+'Jul 30 - Aug 5'!G7)</f>
        <v/>
      </c>
      <c r="M7" s="73" t="n">
        <v>4738.45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127879.4365</v>
      </c>
      <c r="D8" s="73" t="n">
        <v>116799.7602</v>
      </c>
      <c r="E8" s="77">
        <f>IFERROR(SUM(B8-D8)/D8,0)</f>
        <v/>
      </c>
      <c r="F8" s="73" t="n">
        <v>129516.3</v>
      </c>
      <c r="G8" s="74" t="n">
        <v>1017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</f>
        <v/>
      </c>
      <c r="L8" s="89">
        <f>K8/SUM(G8+'Jul 23 - Jul 29'!G8+'Jul 30 - Aug 5'!G8)</f>
        <v/>
      </c>
      <c r="M8" s="73" t="n">
        <v>3766.2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443807.9425</v>
      </c>
      <c r="D9" s="73" t="n">
        <v>343726.5528</v>
      </c>
      <c r="E9" s="77">
        <f>IFERROR(SUM(B9-D9)/D9,0)</f>
        <v/>
      </c>
      <c r="F9" s="73" t="n">
        <v>274334.3</v>
      </c>
      <c r="G9" s="74" t="n">
        <v>2052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</f>
        <v/>
      </c>
      <c r="L9" s="89">
        <f>K9/SUM(G9+'Jul 23 - Jul 29'!G9+'Jul 30 - Aug 5'!G9)</f>
        <v/>
      </c>
      <c r="M9" s="73" t="n">
        <v>9119.4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</f>
        <v/>
      </c>
      <c r="L10" s="89">
        <f>K10/SUM(G10+'Jul 23 - Jul 29'!G10+'Jul 30 - Aug 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198263.358</v>
      </c>
      <c r="D11" s="73" t="n">
        <v>156203.826</v>
      </c>
      <c r="E11" s="77">
        <f>IFERROR(SUM(B11-D11)/D11,0)</f>
        <v/>
      </c>
      <c r="F11" s="73" t="n">
        <v>144176.8</v>
      </c>
      <c r="G11" s="74" t="n">
        <v>964</v>
      </c>
      <c r="H11" s="63">
        <f>IFERROR(B11/G11,0)</f>
        <v/>
      </c>
      <c r="I11" s="61" t="n">
        <v>25</v>
      </c>
      <c r="J11" s="28">
        <f>I11/G11</f>
        <v/>
      </c>
      <c r="K11" s="46">
        <f>I11+'Jul 23 - Jul 29'!I11+'Jul 30 - Aug 5'!I11</f>
        <v/>
      </c>
      <c r="L11" s="89">
        <f>K11/SUM(G11+'Jul 23 - Jul 29'!G11+'Jul 30 - Aug 5'!G11)</f>
        <v/>
      </c>
      <c r="M11" s="73" t="n">
        <v>4003.2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347478.3074999999</v>
      </c>
      <c r="D12" s="73" t="n">
        <v>387803.6039999999</v>
      </c>
      <c r="E12" s="77">
        <f>IFERROR(SUM(B12-D12)/D12,0)</f>
        <v/>
      </c>
      <c r="F12" s="73" t="n">
        <v>318202.9</v>
      </c>
      <c r="G12" s="74" t="n">
        <v>2473</v>
      </c>
      <c r="H12" s="63">
        <f>IFERROR(B12/G12,0)</f>
        <v/>
      </c>
      <c r="I12" s="61" t="n">
        <v>31</v>
      </c>
      <c r="J12" s="28">
        <f>I12/G12</f>
        <v/>
      </c>
      <c r="K12" s="46">
        <f>I12+'Jul 23 - Jul 29'!I12+'Jul 30 - Aug 5'!I12</f>
        <v/>
      </c>
      <c r="L12" s="89">
        <f>K12/SUM(G12+'Jul 23 - Jul 29'!G12+'Jul 30 - Aug 5'!G12)</f>
        <v/>
      </c>
      <c r="M12" s="73" t="n">
        <v>9472.25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132900.4745</v>
      </c>
      <c r="D13" s="73" t="n">
        <v>135093.99</v>
      </c>
      <c r="E13" s="77">
        <f>IFERROR(SUM(B13-D13)/D13,0)</f>
        <v/>
      </c>
      <c r="F13" s="73" t="n">
        <v>118179.4</v>
      </c>
      <c r="G13" s="74" t="n">
        <v>966</v>
      </c>
      <c r="H13" s="63">
        <f>IFERROR(B13/G13,0)</f>
        <v/>
      </c>
      <c r="I13" s="61" t="n">
        <v>15</v>
      </c>
      <c r="J13" s="28">
        <f>I13/G13</f>
        <v/>
      </c>
      <c r="K13" s="46">
        <f>I13+'Jul 23 - Jul 29'!I13+'Jul 30 - Aug 5'!I13</f>
        <v/>
      </c>
      <c r="L13" s="89">
        <f>K13/SUM(G13+'Jul 23 - Jul 29'!G13+'Jul 30 - Aug 5'!G13)</f>
        <v/>
      </c>
      <c r="M13" s="73" t="n">
        <v>9625.15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236788.3005</v>
      </c>
      <c r="D14" s="73" t="n">
        <v>190541.709</v>
      </c>
      <c r="E14" s="77">
        <f>IFERROR(SUM(B14-D14)/D14,0)</f>
        <v/>
      </c>
      <c r="F14" s="73" t="n">
        <v>206173</v>
      </c>
      <c r="G14" s="74" t="n">
        <v>1465</v>
      </c>
      <c r="H14" s="63">
        <f>IFERROR(B14/G14,0)</f>
        <v/>
      </c>
      <c r="I14" s="61" t="n">
        <v>21</v>
      </c>
      <c r="J14" s="28">
        <f>I14/G14</f>
        <v/>
      </c>
      <c r="K14" s="46">
        <f>I14+'Jul 23 - Jul 29'!I14+'Jul 30 - Aug 5'!I14</f>
        <v/>
      </c>
      <c r="L14" s="89">
        <f>K14/SUM(G14+'Jul 23 - Jul 29'!G14+'Jul 30 - Aug 5'!G14)</f>
        <v/>
      </c>
      <c r="M14" s="73" t="n">
        <v>6470.43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73249.9515</v>
      </c>
      <c r="D15" s="73" t="n">
        <v>76547.60279999999</v>
      </c>
      <c r="E15" s="77">
        <f>IFERROR(SUM(B15-D15)/D15,0)</f>
        <v/>
      </c>
      <c r="F15" s="73" t="n">
        <v>90313.03999999999</v>
      </c>
      <c r="G15" s="74" t="n">
        <v>739</v>
      </c>
      <c r="H15" s="63">
        <f>IFERROR(B15/G15,0)</f>
        <v/>
      </c>
      <c r="I15" s="61" t="n">
        <v>0</v>
      </c>
      <c r="J15" s="28">
        <f>I15/G15</f>
        <v/>
      </c>
      <c r="K15" s="46">
        <f>I15+'Jul 23 - Jul 29'!I15+'Jul 30 - Aug 5'!I15</f>
        <v/>
      </c>
      <c r="L15" s="89">
        <f>K15/SUM(G15+'Jul 23 - Jul 29'!G15+'Jul 30 - Aug 5'!G15)</f>
        <v/>
      </c>
      <c r="M15" s="73" t="n">
        <v>6602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</f>
        <v/>
      </c>
      <c r="L16" s="89">
        <f>K16/SUM(G16+'Jul 23 - Jul 29'!G16+'Jul 30 - Aug 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</f>
        <v/>
      </c>
      <c r="L17" s="89">
        <f>K17/SUM(G17+'Jul 23 - Jul 29'!G17+'Jul 30 - Aug 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144312.6375</v>
      </c>
      <c r="D18" s="73" t="n">
        <v>0</v>
      </c>
      <c r="E18" s="77">
        <f>IFERROR(SUM(B18-D18)/D18,0)</f>
        <v/>
      </c>
      <c r="F18" s="73" t="n">
        <v>180202.4</v>
      </c>
      <c r="G18" s="74" t="n">
        <v>1550</v>
      </c>
      <c r="H18" s="63">
        <f>IFERROR(B18/G18,0)</f>
        <v/>
      </c>
      <c r="I18" s="61" t="n">
        <v>36</v>
      </c>
      <c r="J18" s="28">
        <f>I18/G18</f>
        <v/>
      </c>
      <c r="K18" s="46">
        <f>I18+'Jul 23 - Jul 29'!I18+'Jul 30 - Aug 5'!I18</f>
        <v/>
      </c>
      <c r="L18" s="89">
        <f>K18/SUM(G18+'Jul 23 - Jul 29'!G18+'Jul 30 - Aug 5'!G18)</f>
        <v/>
      </c>
      <c r="M18" s="73" t="n">
        <v>4945.45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132394.2215</v>
      </c>
      <c r="D19" s="73" t="n">
        <v>0</v>
      </c>
      <c r="E19" s="77">
        <f>IFERROR(SUM(B19-D19)/D19,0)</f>
        <v/>
      </c>
      <c r="F19" s="73" t="n">
        <v>107160.7</v>
      </c>
      <c r="G19" s="74" t="n">
        <v>712</v>
      </c>
      <c r="H19" s="63">
        <f>IFERROR(B19/G19,0)</f>
        <v/>
      </c>
      <c r="I19" s="61" t="n">
        <v>10</v>
      </c>
      <c r="J19" s="28">
        <f>I19/G19</f>
        <v/>
      </c>
      <c r="K19" s="46">
        <f>I19+'Jul 23 - Jul 29'!I19+'Jul 30 - Aug 5'!I19</f>
        <v/>
      </c>
      <c r="L19" s="89">
        <f>K19/SUM(G19+'Jul 23 - Jul 29'!G19+'Jul 30 - Aug 5'!G19)</f>
        <v/>
      </c>
      <c r="M19" s="73" t="n">
        <v>5520.7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227694.319</v>
      </c>
      <c r="D20" s="73" t="n">
        <v>0</v>
      </c>
      <c r="E20" s="77">
        <f>IFERROR(SUM(B20-D20)/D20,0)</f>
        <v/>
      </c>
      <c r="F20" s="73" t="n">
        <v>166398.8</v>
      </c>
      <c r="G20" s="74" t="n">
        <v>1087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</f>
        <v/>
      </c>
      <c r="L20" s="89">
        <f>K20/SUM(G20+'Jul 23 - Jul 29'!G20+'Jul 30 - Aug 5'!G20)</f>
        <v/>
      </c>
      <c r="M20" s="73" t="n">
        <v>7032.3</v>
      </c>
      <c r="N20" s="9" t="n"/>
    </row>
    <row r="21">
      <c r="A21" s="81" t="n"/>
      <c r="B21" s="81" t="n"/>
      <c r="C21" s="81" t="n"/>
      <c r="D21" s="81" t="n"/>
      <c r="E21" s="81" t="n"/>
      <c r="F21" s="392" t="n"/>
      <c r="G21" s="393" t="n"/>
      <c r="H21" s="394" t="n"/>
      <c r="I21" s="394" t="n"/>
      <c r="J21" s="394" t="n"/>
      <c r="K21" s="394" t="n"/>
      <c r="L21" s="394" t="n"/>
      <c r="M21" s="394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(((B4-B18-B19-B20)-D4)/D4)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2507940.516</v>
      </c>
      <c r="D4" s="3" t="n">
        <v>1877648.4798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</f>
        <v/>
      </c>
      <c r="L4" s="89">
        <f>K4/SUM(G4+'Jul 23 - Jul 29'!G4+'Jul 30 - Aug 5'!G4+'Aug 6 - Aug 12'!G4)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325090.7399999999</v>
      </c>
      <c r="D6" s="73" t="n">
        <v>254404.452</v>
      </c>
      <c r="E6" s="77">
        <f>IFERROR(SUM(B6-D6)/D6,0)</f>
        <v/>
      </c>
      <c r="F6" s="73" t="n">
        <v>207282.8</v>
      </c>
      <c r="G6" s="74" t="n">
        <v>1373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12'!G6)</f>
        <v/>
      </c>
      <c r="M6" s="73" t="n">
        <v>6781.75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187993.49</v>
      </c>
      <c r="D7" s="73" t="n">
        <v>216526.983</v>
      </c>
      <c r="E7" s="77">
        <f>IFERROR(SUM(B7-D7)/D7,0)</f>
        <v/>
      </c>
      <c r="F7" s="73" t="n">
        <v>143954.67</v>
      </c>
      <c r="G7" s="74" t="n">
        <v>979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12'!G7)</f>
        <v/>
      </c>
      <c r="M7" s="73" t="n">
        <v>5862.7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148943.745</v>
      </c>
      <c r="D8" s="73" t="n">
        <v>116799.7602</v>
      </c>
      <c r="E8" s="77">
        <f>IFERROR(SUM(B8-D8)/D8,0)</f>
        <v/>
      </c>
      <c r="F8" s="73" t="n">
        <v>89612.08</v>
      </c>
      <c r="G8" s="74" t="n">
        <v>653</v>
      </c>
      <c r="H8" s="63">
        <f>IFERROR(B8/G8,0)</f>
        <v/>
      </c>
      <c r="I8" s="61" t="n">
        <v>6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12'!G8)</f>
        <v/>
      </c>
      <c r="M8" s="73" t="n">
        <v>4192.54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315484.4449999999</v>
      </c>
      <c r="D9" s="73" t="n">
        <v>343726.5528</v>
      </c>
      <c r="E9" s="77">
        <f>IFERROR(SUM(B9-D9)/D9,0)</f>
        <v/>
      </c>
      <c r="F9" s="73" t="n">
        <v>258233.9</v>
      </c>
      <c r="G9" s="74" t="n">
        <v>1972</v>
      </c>
      <c r="H9" s="63">
        <f>IFERROR(B9/G9,0)</f>
        <v/>
      </c>
      <c r="I9" s="61" t="n">
        <v>12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12'!G9)</f>
        <v/>
      </c>
      <c r="M9" s="73" t="n">
        <v>9456.299999999999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165803.32</v>
      </c>
      <c r="D11" s="73" t="n">
        <v>156203.826</v>
      </c>
      <c r="E11" s="77">
        <f>IFERROR(SUM(B11-D11)/D11,0)</f>
        <v/>
      </c>
      <c r="F11" s="73" t="n">
        <v>143814.22</v>
      </c>
      <c r="G11" s="74" t="n">
        <v>1066</v>
      </c>
      <c r="H11" s="63">
        <f>IFERROR(B11/G11,0)</f>
        <v/>
      </c>
      <c r="I11" s="61" t="n">
        <v>16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12'!G11)</f>
        <v/>
      </c>
      <c r="M11" s="73" t="n">
        <v>4848.65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365933.335</v>
      </c>
      <c r="D12" s="73" t="n">
        <v>387803.6039999999</v>
      </c>
      <c r="E12" s="77">
        <f>IFERROR(SUM(B12-D12)/D12,0)</f>
        <v/>
      </c>
      <c r="F12" s="73" t="n">
        <v>296762.82</v>
      </c>
      <c r="G12" s="74" t="n">
        <v>2043</v>
      </c>
      <c r="H12" s="63">
        <f>IFERROR(B12/G12,0)</f>
        <v/>
      </c>
      <c r="I12" s="61" t="n">
        <v>32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12'!G12)</f>
        <v/>
      </c>
      <c r="M12" s="73" t="n">
        <v>8296.799999999999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135906.31</v>
      </c>
      <c r="D13" s="73" t="n">
        <v>135093.99</v>
      </c>
      <c r="E13" s="77">
        <f>IFERROR(SUM(B13-D13)/D13,0)</f>
        <v/>
      </c>
      <c r="F13" s="73" t="n">
        <v>114345.4</v>
      </c>
      <c r="G13" s="74" t="n">
        <v>946</v>
      </c>
      <c r="H13" s="63">
        <f>IFERROR(B13/G13,0)</f>
        <v/>
      </c>
      <c r="I13" s="61" t="n">
        <v>14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12'!G13)</f>
        <v/>
      </c>
      <c r="M13" s="73" t="n">
        <v>10242.75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237098.95</v>
      </c>
      <c r="D14" s="73" t="n">
        <v>190541.709</v>
      </c>
      <c r="E14" s="77">
        <f>IFERROR(SUM(B14-D14)/D14,0)</f>
        <v/>
      </c>
      <c r="F14" s="73" t="n">
        <v>194113.4</v>
      </c>
      <c r="G14" s="74" t="n">
        <v>1483</v>
      </c>
      <c r="H14" s="63">
        <f>IFERROR(B14/G14,0)</f>
        <v/>
      </c>
      <c r="I14" s="61" t="n">
        <v>27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12'!G14)</f>
        <v/>
      </c>
      <c r="M14" s="73" t="n">
        <v>5966.8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103859.996</v>
      </c>
      <c r="D15" s="73" t="n">
        <v>76547.60279999999</v>
      </c>
      <c r="E15" s="77">
        <f>IFERROR(SUM(B15-D15)/D15,0)</f>
        <v/>
      </c>
      <c r="F15" s="73" t="n">
        <v>80398.27</v>
      </c>
      <c r="G15" s="74" t="n">
        <v>647</v>
      </c>
      <c r="H15" s="63">
        <f>IFERROR(B15/G15,0)</f>
        <v/>
      </c>
      <c r="I15" s="61" t="n">
        <v>2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12'!G15)</f>
        <v/>
      </c>
      <c r="M15" s="73" t="n">
        <v>6846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>
        <v>0</v>
      </c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>
        <v>0</v>
      </c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207232.76</v>
      </c>
      <c r="D18" s="73" t="n">
        <v>0</v>
      </c>
      <c r="E18" s="77">
        <f>IFERROR(SUM(B18-D18)/D18,0)</f>
        <v/>
      </c>
      <c r="F18" s="73" t="n">
        <v>118383.8</v>
      </c>
      <c r="G18" s="74" t="n">
        <v>968</v>
      </c>
      <c r="H18" s="63">
        <f>IFERROR(B18/G18,0)</f>
        <v/>
      </c>
      <c r="I18" s="61" t="n">
        <v>24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12'!G18)</f>
        <v/>
      </c>
      <c r="M18" s="73" t="n">
        <v>2019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123234.805</v>
      </c>
      <c r="D19" s="73" t="n">
        <v>0</v>
      </c>
      <c r="E19" s="77">
        <f>IFERROR(SUM(B19-D19)/D19,0)</f>
        <v/>
      </c>
      <c r="F19" s="73" t="n">
        <v>93204.23</v>
      </c>
      <c r="G19" s="74" t="n">
        <v>633</v>
      </c>
      <c r="H19" s="63">
        <f>IFERROR(B19/G19,0)</f>
        <v/>
      </c>
      <c r="I19" s="61" t="n">
        <v>9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12'!G19)</f>
        <v/>
      </c>
      <c r="M19" s="73" t="n">
        <v>6084.2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191358.62</v>
      </c>
      <c r="D20" s="73" t="n">
        <v>0</v>
      </c>
      <c r="E20" s="77">
        <f>IFERROR(SUM(B20-D20)/D20,0)</f>
        <v/>
      </c>
      <c r="F20" s="73" t="n">
        <v>164548.5</v>
      </c>
      <c r="G20" s="74" t="n">
        <v>1099</v>
      </c>
      <c r="H20" s="63">
        <f>IFERROR(B20/G20,0)</f>
        <v/>
      </c>
      <c r="I20" s="74" t="n">
        <v>26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12'!G20)</f>
        <v/>
      </c>
      <c r="M20" s="73" t="n">
        <v>12131.9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(((B4-B19-B20)-D4)/D4)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2190352.2035</v>
      </c>
      <c r="D4" s="3" t="n">
        <v>1755569.1402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I4+'Jul 23 - Jul 29'!I4+'Jul 30 - Aug 5'!I4+'Aug 6 - Aug 12'!I4+'Aug 13 - Aug 19'!I4</f>
        <v/>
      </c>
      <c r="L4" s="89">
        <f>K4/SUM(G4+'Jul 23 - Jul 29'!G4+'Jul 30 - Aug 5'!G4+'Aug 6 - Aug 12'!G4+'Aug 13 - Aug 19'!G4)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I5+'Jul 23 - Jul 29'!I5+'Jul 30 - Aug 5'!I5+'Aug 6 - Aug 12'!I5</f>
        <v/>
      </c>
      <c r="L5" s="89">
        <f>K5/SUM(G5+'Jul 23 - Jul 29'!G5+'Jul 30 - Aug 5'!G5+'Aug 6 - Aug 12'!G5+'Aug 13 - Aug 19'!G5)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238375.22</v>
      </c>
      <c r="D6" s="73" t="n">
        <v>225656.73</v>
      </c>
      <c r="E6" s="77">
        <f>IFERROR(SUM(B6-D6)/D6,0)</f>
        <v/>
      </c>
      <c r="F6" s="73" t="n">
        <v>209469.86</v>
      </c>
      <c r="G6" s="74" t="n">
        <v>1419</v>
      </c>
      <c r="H6" s="63">
        <f>IFERROR(B6/G6,0)</f>
        <v/>
      </c>
      <c r="I6" s="61" t="n">
        <v>19</v>
      </c>
      <c r="J6" s="28">
        <f>I6/G6</f>
        <v/>
      </c>
      <c r="K6" s="46">
        <f>I6+'Jul 23 - Jul 29'!I6+'Jul 30 - Aug 5'!I6+'Aug 6 - Aug 12'!I6</f>
        <v/>
      </c>
      <c r="L6" s="89">
        <f>K6/SUM(G6+'Jul 23 - Jul 29'!G6+'Jul 30 - Aug 5'!G6+'Aug 6 - Aug 12'!G6+'Aug 13 - Aug 19'!G6)</f>
        <v/>
      </c>
      <c r="M6" s="73" t="n">
        <v>6683.4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165547.8705</v>
      </c>
      <c r="D7" s="73" t="n">
        <v>194957.214</v>
      </c>
      <c r="E7" s="77">
        <f>IFERROR(SUM(B7-D7)/D7,0)</f>
        <v/>
      </c>
      <c r="F7" s="73" t="n">
        <v>181006.65</v>
      </c>
      <c r="G7" s="74" t="n">
        <v>1195</v>
      </c>
      <c r="H7" s="63">
        <f>IFERROR(B7/G7,0)</f>
        <v/>
      </c>
      <c r="I7" s="61" t="n">
        <v>5</v>
      </c>
      <c r="J7" s="28">
        <f>I7/G7</f>
        <v/>
      </c>
      <c r="K7" s="46">
        <f>I7+'Jul 23 - Jul 29'!I7+'Jul 30 - Aug 5'!I7+'Aug 6 - Aug 12'!I7</f>
        <v/>
      </c>
      <c r="L7" s="89">
        <f>K7/SUM(G7+'Jul 23 - Jul 29'!G7+'Jul 30 - Aug 5'!G7+'Aug 6 - Aug 12'!G7+'Aug 13 - Aug 19'!G7)</f>
        <v/>
      </c>
      <c r="M7" s="73" t="n">
        <v>5504.9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103053.892</v>
      </c>
      <c r="D8" s="73" t="n">
        <v>110440.0536</v>
      </c>
      <c r="E8" s="77">
        <f>IFERROR(SUM(B8-D8)/D8,0)</f>
        <v/>
      </c>
      <c r="F8" s="73" t="n">
        <v>105933.58</v>
      </c>
      <c r="G8" s="74" t="n">
        <v>710</v>
      </c>
      <c r="H8" s="63">
        <f>IFERROR(B8/G8,0)</f>
        <v/>
      </c>
      <c r="I8" s="61" t="n">
        <v>4</v>
      </c>
      <c r="J8" s="28">
        <f>I8/G8</f>
        <v/>
      </c>
      <c r="K8" s="46">
        <f>I8+'Jul 23 - Jul 29'!I8+'Jul 30 - Aug 5'!I8+'Aug 6 - Aug 12'!I8</f>
        <v/>
      </c>
      <c r="L8" s="89">
        <f>K8/SUM(G8+'Jul 23 - Jul 29'!G8+'Jul 30 - Aug 5'!G8+'Aug 6 - Aug 12'!G8+'Aug 13 - Aug 19'!G8)</f>
        <v/>
      </c>
      <c r="M8" s="73" t="n">
        <v>4571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296968.985</v>
      </c>
      <c r="D9" s="73" t="n">
        <v>302804.52</v>
      </c>
      <c r="E9" s="77">
        <f>IFERROR(SUM(B9-D9)/D9,0)</f>
        <v/>
      </c>
      <c r="F9" s="73" t="n">
        <v>275025.62</v>
      </c>
      <c r="G9" s="74" t="n">
        <v>2195</v>
      </c>
      <c r="H9" s="63">
        <f>IFERROR(B9/G9,0)</f>
        <v/>
      </c>
      <c r="I9" s="61" t="n">
        <v>15</v>
      </c>
      <c r="J9" s="28">
        <f>I9/G9</f>
        <v/>
      </c>
      <c r="K9" s="46">
        <f>I9+'Jul 23 - Jul 29'!I9+'Jul 30 - Aug 5'!I9+'Aug 6 - Aug 12'!I9</f>
        <v/>
      </c>
      <c r="L9" s="89">
        <f>K9/SUM(G9+'Jul 23 - Jul 29'!G9+'Jul 30 - Aug 5'!G9+'Aug 6 - Aug 12'!G9+'Aug 13 - Aug 19'!G9)</f>
        <v/>
      </c>
      <c r="M9" s="73" t="n">
        <v>8129.8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I10+'Jul 23 - Jul 29'!I10+'Jul 30 - Aug 5'!I10+'Aug 6 - Aug 12'!I10</f>
        <v/>
      </c>
      <c r="L10" s="89">
        <f>K10/SUM(G10+'Jul 23 - Jul 29'!G10+'Jul 30 - Aug 5'!G10+'Aug 6 - Aug 12'!G10+'Aug 13 - Aug 19'!G10)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165386.353</v>
      </c>
      <c r="D11" s="73" t="n">
        <v>130993.296</v>
      </c>
      <c r="E11" s="77">
        <f>IFERROR(SUM(B11-D11)/D11,0)</f>
        <v/>
      </c>
      <c r="F11" s="73" t="n">
        <v>134373.57</v>
      </c>
      <c r="G11" s="74" t="n">
        <v>924</v>
      </c>
      <c r="H11" s="63">
        <f>IFERROR(B11/G11,0)</f>
        <v/>
      </c>
      <c r="I11" s="61" t="n">
        <v>28</v>
      </c>
      <c r="J11" s="28">
        <f>I11/G11</f>
        <v/>
      </c>
      <c r="K11" s="46">
        <f>I11+'Jul 23 - Jul 29'!I11+'Jul 30 - Aug 5'!I11+'Aug 6 - Aug 12'!I11</f>
        <v/>
      </c>
      <c r="L11" s="89">
        <f>K11/SUM(G11+'Jul 23 - Jul 29'!G11+'Jul 30 - Aug 5'!G11+'Aug 6 - Aug 12'!G11+'Aug 13 - Aug 19'!G11)</f>
        <v/>
      </c>
      <c r="M11" s="73" t="n">
        <v>4281.83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341277.243</v>
      </c>
      <c r="D12" s="73" t="n">
        <v>362089.08</v>
      </c>
      <c r="E12" s="77">
        <f>IFERROR(SUM(B12-D12)/D12,0)</f>
        <v/>
      </c>
      <c r="F12" s="73" t="n">
        <v>302044.64</v>
      </c>
      <c r="G12" s="74" t="n">
        <v>2139</v>
      </c>
      <c r="H12" s="63">
        <f>IFERROR(B12/G12,0)</f>
        <v/>
      </c>
      <c r="I12" s="61" t="n">
        <v>43</v>
      </c>
      <c r="J12" s="28">
        <f>I12/G12</f>
        <v/>
      </c>
      <c r="K12" s="46">
        <f>I12+'Jul 23 - Jul 29'!I12+'Jul 30 - Aug 5'!I12+'Aug 6 - Aug 12'!I12</f>
        <v/>
      </c>
      <c r="L12" s="89">
        <f>K12/SUM(G12+'Jul 23 - Jul 29'!G12+'Jul 30 - Aug 5'!G12+'Aug 6 - Aug 12'!G12+'Aug 13 - Aug 19'!G12)</f>
        <v/>
      </c>
      <c r="M12" s="73" t="n">
        <v>9111.25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131497.21</v>
      </c>
      <c r="D13" s="73" t="n">
        <v>117634.9584</v>
      </c>
      <c r="E13" s="77">
        <f>IFERROR(SUM(B13-D13)/D13,0)</f>
        <v/>
      </c>
      <c r="F13" s="73" t="n">
        <v>120580.58</v>
      </c>
      <c r="G13" s="74" t="n">
        <v>924</v>
      </c>
      <c r="H13" s="63">
        <f>IFERROR(B13/G13,0)</f>
        <v/>
      </c>
      <c r="I13" s="61" t="n">
        <v>12</v>
      </c>
      <c r="J13" s="28">
        <f>I13/G13</f>
        <v/>
      </c>
      <c r="K13" s="46">
        <f>I13+'Jul 23 - Jul 29'!I13+'Jul 30 - Aug 5'!I13+'Aug 6 - Aug 12'!I13</f>
        <v/>
      </c>
      <c r="L13" s="89">
        <f>K13/SUM(G13+'Jul 23 - Jul 29'!G13+'Jul 30 - Aug 5'!G13+'Aug 6 - Aug 12'!G13+'Aug 13 - Aug 19'!G13)</f>
        <v/>
      </c>
      <c r="M13" s="73" t="n">
        <v>7529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223230.41</v>
      </c>
      <c r="D14" s="73" t="n">
        <v>176240.0442</v>
      </c>
      <c r="E14" s="77">
        <f>IFERROR(SUM(B14-D14)/D14,0)</f>
        <v/>
      </c>
      <c r="F14" s="73" t="n">
        <v>208254.48</v>
      </c>
      <c r="G14" s="74" t="n">
        <v>1530</v>
      </c>
      <c r="H14" s="63">
        <f>IFERROR(B14/G14,0)</f>
        <v/>
      </c>
      <c r="I14" s="61" t="n">
        <v>22</v>
      </c>
      <c r="J14" s="28">
        <f>I14/G14</f>
        <v/>
      </c>
      <c r="K14" s="46">
        <f>I14+'Jul 23 - Jul 29'!I14+'Jul 30 - Aug 5'!I14+'Aug 6 - Aug 12'!I14</f>
        <v/>
      </c>
      <c r="L14" s="89">
        <f>K14/SUM(G14+'Jul 23 - Jul 29'!G14+'Jul 30 - Aug 5'!G14+'Aug 6 - Aug 12'!G14+'Aug 13 - Aug 19'!G14)</f>
        <v/>
      </c>
      <c r="M14" s="73" t="n">
        <v>6531.6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92458.0105</v>
      </c>
      <c r="D15" s="73" t="n">
        <v>68763.7968</v>
      </c>
      <c r="E15" s="77">
        <f>IFERROR(SUM(B15-D15)/D15,0)</f>
        <v/>
      </c>
      <c r="F15" s="73" t="n">
        <v>51017.29</v>
      </c>
      <c r="G15" s="74" t="n">
        <v>411</v>
      </c>
      <c r="H15" s="63">
        <f>IFERROR(B15/G15,0)</f>
        <v/>
      </c>
      <c r="I15" s="61" t="n">
        <v>3</v>
      </c>
      <c r="J15" s="28">
        <f>I15/G15</f>
        <v/>
      </c>
      <c r="K15" s="46">
        <f>I15+'Jul 23 - Jul 29'!I15+'Jul 30 - Aug 5'!I15+'Aug 6 - Aug 12'!I15</f>
        <v/>
      </c>
      <c r="L15" s="89">
        <f>K15/SUM(G15+'Jul 23 - Jul 29'!G15+'Jul 30 - Aug 5'!G15+'Aug 6 - Aug 12'!G15+'Aug 13 - Aug 19'!G15)</f>
        <v/>
      </c>
      <c r="M15" s="73" t="n">
        <v>4840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I16+'Jul 23 - Jul 29'!I16+'Jul 30 - Aug 5'!I16+'Aug 6 - Aug 12'!I16</f>
        <v/>
      </c>
      <c r="L16" s="89">
        <f>K16/SUM(G16+'Jul 23 - Jul 29'!G16+'Jul 30 - Aug 5'!G16+'Aug 6 - Aug 12'!G16+'Aug 13 - Aug 19'!G16)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I17+'Jul 23 - Jul 29'!I17+'Jul 30 - Aug 5'!I17+'Aug 6 - Aug 12'!I17</f>
        <v/>
      </c>
      <c r="L17" s="89">
        <f>K17/SUM(G17+'Jul 23 - Jul 29'!G17+'Jul 30 - Aug 5'!G17+'Aug 6 - Aug 12'!G17+'Aug 13 - Aug 19'!G17)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136141.37</v>
      </c>
      <c r="D18" s="73" t="n">
        <v>65989.4472</v>
      </c>
      <c r="E18" s="77">
        <f>IFERROR(SUM(B18-D18)/D18,0)</f>
        <v/>
      </c>
      <c r="F18" s="73" t="n">
        <v>113631.98</v>
      </c>
      <c r="G18" s="74" t="n">
        <v>1004</v>
      </c>
      <c r="H18" s="63">
        <f>IFERROR(B18/G18,0)</f>
        <v/>
      </c>
      <c r="I18" s="61" t="n">
        <v>35</v>
      </c>
      <c r="J18" s="28">
        <f>I18/G18</f>
        <v/>
      </c>
      <c r="K18" s="46">
        <f>I18+'Jul 23 - Jul 29'!I18+'Jul 30 - Aug 5'!I18+'Aug 6 - Aug 12'!I18</f>
        <v/>
      </c>
      <c r="L18" s="89">
        <f>K18/SUM(G18+'Jul 23 - Jul 29'!G18+'Jul 30 - Aug 5'!G18+'Aug 6 - Aug 12'!G18+'Aug 13 - Aug 19'!G18)</f>
        <v/>
      </c>
      <c r="M18" s="73" t="n">
        <v>2701.35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107184.8645</v>
      </c>
      <c r="D19" s="73" t="n">
        <v>0</v>
      </c>
      <c r="E19" s="77">
        <f>IFERROR(SUM(B19-D19)/D19,0)</f>
        <v/>
      </c>
      <c r="F19" s="73" t="n">
        <v>112972.82</v>
      </c>
      <c r="G19" s="74" t="n">
        <v>723</v>
      </c>
      <c r="H19" s="63">
        <f>IFERROR(B19/G19,0)</f>
        <v/>
      </c>
      <c r="I19" s="61" t="n">
        <v>8</v>
      </c>
      <c r="J19" s="28">
        <f>I19/G19</f>
        <v/>
      </c>
      <c r="K19" s="46">
        <f>I19+'Jul 23 - Jul 29'!I19+'Jul 30 - Aug 5'!I19+'Aug 6 - Aug 12'!I19</f>
        <v/>
      </c>
      <c r="L19" s="89">
        <f>K19/SUM(G19+'Jul 23 - Jul 29'!G19+'Jul 30 - Aug 5'!G19+'Aug 6 - Aug 12'!G19+'Aug 13 - Aug 19'!G19)</f>
        <v/>
      </c>
      <c r="M19" s="73" t="n">
        <v>3884.5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189230.775</v>
      </c>
      <c r="D20" s="73" t="n">
        <v>0</v>
      </c>
      <c r="E20" s="77">
        <f>IFERROR(SUM(B20-D20)/D20,0)</f>
        <v/>
      </c>
      <c r="F20" s="73" t="n">
        <v>159987.04</v>
      </c>
      <c r="G20" s="74" t="n">
        <v>1122</v>
      </c>
      <c r="H20" s="63">
        <f>IFERROR(B20/G20,0)</f>
        <v/>
      </c>
      <c r="I20" s="74" t="n">
        <v>21</v>
      </c>
      <c r="J20" s="28">
        <f>I20/G20</f>
        <v/>
      </c>
      <c r="K20" s="46">
        <f>I20+'Jul 23 - Jul 29'!I20+'Jul 30 - Aug 5'!I20+'Aug 6 - Aug 12'!I20</f>
        <v/>
      </c>
      <c r="L20" s="89">
        <f>K20/SUM(G20+'Jul 23 - Jul 29'!G20+'Jul 30 - Aug 5'!G20+'Aug 6 - Aug 12'!G20+'Aug 13 - Aug 19'!G20)</f>
        <v/>
      </c>
      <c r="M20" s="73" t="n">
        <v>7616.35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2270442.8265</v>
      </c>
      <c r="D4" s="3" t="n">
        <v>1949129.0676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</f>
        <v/>
      </c>
      <c r="L4" s="89">
        <f>K4/SUM(G4)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</f>
        <v/>
      </c>
      <c r="L5" s="89">
        <f>K5/SUM(G5)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240890.339</v>
      </c>
      <c r="D6" s="73" t="n">
        <v>235360.638</v>
      </c>
      <c r="E6" s="77">
        <f>IFERROR(SUM(B6-D6)/D6,0)</f>
        <v/>
      </c>
      <c r="F6" s="73" t="n">
        <v>235760.36</v>
      </c>
      <c r="G6" s="74" t="n">
        <v>1583</v>
      </c>
      <c r="H6" s="63">
        <f>IFERROR(B6/G6,0)</f>
        <v/>
      </c>
      <c r="I6" s="61" t="n">
        <v>46</v>
      </c>
      <c r="J6" s="28">
        <f>I6/G6</f>
        <v/>
      </c>
      <c r="K6" s="46">
        <f>I6</f>
        <v/>
      </c>
      <c r="L6" s="89">
        <f>K6/SUM(G6)</f>
        <v/>
      </c>
      <c r="M6" s="73" t="n">
        <v>5713.2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208157.6475</v>
      </c>
      <c r="D7" s="73" t="n">
        <v>159578.568</v>
      </c>
      <c r="E7" s="77">
        <f>IFERROR(SUM(B7-D7)/D7,0)</f>
        <v/>
      </c>
      <c r="F7" s="73" t="n">
        <v>200562.47</v>
      </c>
      <c r="G7" s="74" t="n">
        <v>1629</v>
      </c>
      <c r="H7" s="63">
        <f>IFERROR(B7/G7,0)</f>
        <v/>
      </c>
      <c r="I7" s="61" t="n">
        <v>153</v>
      </c>
      <c r="J7" s="28">
        <f>I7/G7</f>
        <v/>
      </c>
      <c r="K7" s="46">
        <f>I7</f>
        <v/>
      </c>
      <c r="L7" s="89">
        <f>K7/SUM(G7)</f>
        <v/>
      </c>
      <c r="M7" s="73" t="n">
        <v>9799.75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121823.617</v>
      </c>
      <c r="D8" s="73" t="n">
        <v>126032.244</v>
      </c>
      <c r="E8" s="77">
        <f>IFERROR(SUM(B8-D8)/D8,0)</f>
        <v/>
      </c>
      <c r="F8" s="73" t="n">
        <v>116687.5</v>
      </c>
      <c r="G8" s="74" t="n">
        <v>795</v>
      </c>
      <c r="H8" s="63">
        <f>IFERROR(B8/G8,0)</f>
        <v/>
      </c>
      <c r="I8" s="61" t="n">
        <v>63</v>
      </c>
      <c r="J8" s="28">
        <f>I8/G8</f>
        <v/>
      </c>
      <c r="K8" s="46">
        <f>I8</f>
        <v/>
      </c>
      <c r="L8" s="89">
        <f>K8/SUM(G8)</f>
        <v/>
      </c>
      <c r="M8" s="73" t="n">
        <v>1765.5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316279.463</v>
      </c>
      <c r="D9" s="73" t="n">
        <v>322167.876</v>
      </c>
      <c r="E9" s="77">
        <f>IFERROR(SUM(B9-D9)/D9,0)</f>
        <v/>
      </c>
      <c r="F9" s="73" t="n">
        <v>272847.31</v>
      </c>
      <c r="G9" s="74" t="n">
        <v>2201</v>
      </c>
      <c r="H9" s="63">
        <f>IFERROR(B9/G9,0)</f>
        <v/>
      </c>
      <c r="I9" s="61" t="n">
        <v>160</v>
      </c>
      <c r="J9" s="28">
        <f>I9/G9</f>
        <v/>
      </c>
      <c r="K9" s="46">
        <f>I9</f>
        <v/>
      </c>
      <c r="L9" s="89">
        <f>K9/SUM(G9)</f>
        <v/>
      </c>
      <c r="M9" s="73" t="n">
        <v>8093.6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</f>
        <v/>
      </c>
      <c r="L10" s="89">
        <f>K10/SUM(G10)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154529.6055</v>
      </c>
      <c r="D11" s="73" t="n">
        <v>141764.928</v>
      </c>
      <c r="E11" s="77">
        <f>IFERROR(SUM(B11-D11)/D11,0)</f>
        <v/>
      </c>
      <c r="F11" s="73" t="n">
        <v>142890.54</v>
      </c>
      <c r="G11" s="74" t="n">
        <v>988</v>
      </c>
      <c r="H11" s="63">
        <f>IFERROR(B11/G11,0)</f>
        <v/>
      </c>
      <c r="I11" s="61" t="n">
        <v>57</v>
      </c>
      <c r="J11" s="28">
        <f>I11/G11</f>
        <v/>
      </c>
      <c r="K11" s="46">
        <f>I11</f>
        <v/>
      </c>
      <c r="L11" s="89">
        <f>K11/SUM(G11)</f>
        <v/>
      </c>
      <c r="M11" s="73" t="n">
        <v>4198.5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347351.336</v>
      </c>
      <c r="D12" s="73" t="n">
        <v>368737.5599999999</v>
      </c>
      <c r="E12" s="77">
        <f>IFERROR(SUM(B12-D12)/D12,0)</f>
        <v/>
      </c>
      <c r="F12" s="73" t="n">
        <v>342584.91</v>
      </c>
      <c r="G12" s="74" t="n">
        <v>2349</v>
      </c>
      <c r="H12" s="63">
        <f>IFERROR(B12/G12,0)</f>
        <v/>
      </c>
      <c r="I12" s="61" t="n">
        <v>96</v>
      </c>
      <c r="J12" s="28">
        <f>I12/G12</f>
        <v/>
      </c>
      <c r="K12" s="46">
        <f>I12</f>
        <v/>
      </c>
      <c r="L12" s="89">
        <f>K12/SUM(G12)</f>
        <v/>
      </c>
      <c r="M12" s="73" t="n">
        <v>11310.7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138667.667</v>
      </c>
      <c r="D13" s="73" t="n">
        <v>120541.89</v>
      </c>
      <c r="E13" s="77">
        <f>IFERROR(SUM(B13-D13)/D13,0)</f>
        <v/>
      </c>
      <c r="F13" s="73" t="n">
        <v>117324.77</v>
      </c>
      <c r="G13" s="74" t="n">
        <v>878</v>
      </c>
      <c r="H13" s="63">
        <f>IFERROR(B13/G13,0)</f>
        <v/>
      </c>
      <c r="I13" s="61" t="n">
        <v>26</v>
      </c>
      <c r="J13" s="28">
        <f>I13/G13</f>
        <v/>
      </c>
      <c r="K13" s="46">
        <f>I13</f>
        <v/>
      </c>
      <c r="L13" s="89">
        <f>K13/SUM(G13)</f>
        <v/>
      </c>
      <c r="M13" s="73" t="n">
        <v>8773.5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239492.652</v>
      </c>
      <c r="D14" s="73" t="n">
        <v>177892.098</v>
      </c>
      <c r="E14" s="77">
        <f>IFERROR(SUM(B14-D14)/D14,0)</f>
        <v/>
      </c>
      <c r="F14" s="73" t="n">
        <v>229593.2</v>
      </c>
      <c r="G14" s="74" t="n">
        <v>1694</v>
      </c>
      <c r="H14" s="63">
        <f>IFERROR(B14/G14,0)</f>
        <v/>
      </c>
      <c r="I14" s="61" t="n">
        <v>68</v>
      </c>
      <c r="J14" s="28">
        <f>I14/G14</f>
        <v/>
      </c>
      <c r="K14" s="46">
        <f>I14</f>
        <v/>
      </c>
      <c r="L14" s="89">
        <f>K14/SUM(G14)</f>
        <v/>
      </c>
      <c r="M14" s="73" t="n">
        <v>9492.4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58669.8835</v>
      </c>
      <c r="D15" s="73" t="n">
        <v>76438.8012</v>
      </c>
      <c r="E15" s="77">
        <f>IFERROR(SUM(B15-D15)/D15,0)</f>
        <v/>
      </c>
      <c r="F15" s="73" t="n">
        <v>67177.14</v>
      </c>
      <c r="G15" s="74" t="n">
        <v>637</v>
      </c>
      <c r="H15" s="63">
        <f>IFERROR(B15/G15,0)</f>
        <v/>
      </c>
      <c r="I15" s="61" t="n">
        <v>0</v>
      </c>
      <c r="J15" s="28">
        <f>I15/G15</f>
        <v/>
      </c>
      <c r="K15" s="46">
        <f>I15</f>
        <v/>
      </c>
      <c r="L15" s="89">
        <f>K15/SUM(G15)</f>
        <v/>
      </c>
      <c r="M15" s="73" t="n">
        <v>4159.5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</f>
        <v/>
      </c>
      <c r="L16" s="89">
        <f>K16/SUM(G16)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</f>
        <v/>
      </c>
      <c r="L17" s="89">
        <f>K17/SUM(G17)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130676.777</v>
      </c>
      <c r="D18" s="73" t="n">
        <v>133789.716</v>
      </c>
      <c r="E18" s="77">
        <f>IFERROR(SUM(B18-D18)/D18,0)</f>
        <v/>
      </c>
      <c r="F18" s="73" t="n">
        <v>121573.9</v>
      </c>
      <c r="G18" s="74" t="n">
        <v>1059</v>
      </c>
      <c r="H18" s="63">
        <f>IFERROR(B18/G18,0)</f>
        <v/>
      </c>
      <c r="I18" s="61" t="n">
        <v>81</v>
      </c>
      <c r="J18" s="28">
        <f>I18/G18</f>
        <v/>
      </c>
      <c r="K18" s="46">
        <f>I18</f>
        <v/>
      </c>
      <c r="L18" s="89">
        <f>K18/SUM(G18)</f>
        <v/>
      </c>
      <c r="M18" s="73" t="n">
        <v>2119.3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129918.743</v>
      </c>
      <c r="D19" s="73" t="n">
        <v>86824.7484</v>
      </c>
      <c r="E19" s="77">
        <f>IFERROR(SUM(B19-D19)/D19,0)</f>
        <v/>
      </c>
      <c r="F19" s="73" t="n">
        <v>108880.8</v>
      </c>
      <c r="G19" s="74" t="n">
        <v>731</v>
      </c>
      <c r="H19" s="63">
        <f>IFERROR(B19/G19,0)</f>
        <v/>
      </c>
      <c r="I19" s="61" t="n">
        <v>45</v>
      </c>
      <c r="J19" s="28">
        <f>I19/G19</f>
        <v/>
      </c>
      <c r="K19" s="46">
        <f>I19</f>
        <v/>
      </c>
      <c r="L19" s="89">
        <f>K19/SUM(G19)</f>
        <v/>
      </c>
      <c r="M19" s="73" t="n">
        <v>3969.4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183985.096</v>
      </c>
      <c r="D20" s="73" t="n">
        <v>0</v>
      </c>
      <c r="E20" s="77">
        <f>IFERROR(SUM(B20-D20)/D20,0)</f>
        <v/>
      </c>
      <c r="F20" s="73" t="n">
        <v>199994.6</v>
      </c>
      <c r="G20" s="74" t="n">
        <v>1510</v>
      </c>
      <c r="H20" s="63">
        <f>IFERROR(B20/G20,0)</f>
        <v/>
      </c>
      <c r="I20" s="74" t="n">
        <v>66</v>
      </c>
      <c r="J20" s="28">
        <f>I20/G20</f>
        <v/>
      </c>
      <c r="K20" s="46">
        <f>I20</f>
        <v/>
      </c>
      <c r="L20" s="89">
        <f>K20/SUM(G20)</f>
        <v/>
      </c>
      <c r="M20" s="73" t="n">
        <v>8145.1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2479259.125</v>
      </c>
      <c r="D4" s="3" t="n">
        <v>1932598.5774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</f>
        <v/>
      </c>
      <c r="L4" s="89">
        <f>K4/SUM(G4+'Aug 27 - Sept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</f>
        <v/>
      </c>
      <c r="L5" s="89">
        <f>K5/SUM(G5+'Aug 27 - Sept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271124.414</v>
      </c>
      <c r="D6" s="73" t="n">
        <v>209429.058</v>
      </c>
      <c r="E6" s="77">
        <f>IFERROR(SUM(B6-D6)/D6,0)</f>
        <v/>
      </c>
      <c r="F6" s="73" t="n">
        <v>213519.69</v>
      </c>
      <c r="G6" s="74" t="n">
        <v>1523</v>
      </c>
      <c r="H6" s="63">
        <f>IFERROR(B6/G6,0)</f>
        <v/>
      </c>
      <c r="I6" s="61" t="n">
        <v>107</v>
      </c>
      <c r="J6" s="28">
        <f>I6/G6</f>
        <v/>
      </c>
      <c r="K6" s="46">
        <f>I6+'Aug 27 - Sept 2'!I6</f>
        <v/>
      </c>
      <c r="L6" s="89">
        <f>K6/SUM(G6+'Aug 27 - Sept 2'!G6)</f>
        <v/>
      </c>
      <c r="M6" s="73" t="n">
        <v>6382.5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230646.8405</v>
      </c>
      <c r="D7" s="73" t="n">
        <v>163422.534</v>
      </c>
      <c r="E7" s="77">
        <f>IFERROR(SUM(B7-D7)/D7,0)</f>
        <v/>
      </c>
      <c r="F7" s="73" t="n">
        <v>186714.6</v>
      </c>
      <c r="G7" s="74" t="n">
        <v>1410</v>
      </c>
      <c r="H7" s="63">
        <f>IFERROR(B7/G7,0)</f>
        <v/>
      </c>
      <c r="I7" s="61" t="n">
        <v>230</v>
      </c>
      <c r="J7" s="28">
        <f>I7/G7</f>
        <v/>
      </c>
      <c r="K7" s="46">
        <f>I7+'Aug 27 - Sept 2'!I7</f>
        <v/>
      </c>
      <c r="L7" s="89">
        <f>K7/SUM(G7+'Aug 27 - Sept 2'!G7)</f>
        <v/>
      </c>
      <c r="M7" s="73" t="n">
        <v>6448.7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134190.625</v>
      </c>
      <c r="D8" s="73" t="n">
        <v>113596.6794</v>
      </c>
      <c r="E8" s="77">
        <f>IFERROR(SUM(B8-D8)/D8,0)</f>
        <v/>
      </c>
      <c r="F8" s="73" t="n">
        <v>89949.67</v>
      </c>
      <c r="G8" s="74" t="n">
        <v>660</v>
      </c>
      <c r="H8" s="63">
        <f>IFERROR(B8/G8,0)</f>
        <v/>
      </c>
      <c r="I8" s="61" t="n">
        <v>61</v>
      </c>
      <c r="J8" s="28">
        <f>I8/G8</f>
        <v/>
      </c>
      <c r="K8" s="46">
        <f>I8+'Aug 27 - Sept 2'!I8</f>
        <v/>
      </c>
      <c r="L8" s="89">
        <f>K8/SUM(G8+'Aug 27 - Sept 2'!G8)</f>
        <v/>
      </c>
      <c r="M8" s="73" t="n">
        <v>5550.65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313774.4065</v>
      </c>
      <c r="D9" s="73" t="n">
        <v>333070.836</v>
      </c>
      <c r="E9" s="77">
        <f>IFERROR(SUM(B9-D9)/D9,0)</f>
        <v/>
      </c>
      <c r="F9" s="73" t="n">
        <v>252212.29</v>
      </c>
      <c r="G9" s="74" t="n">
        <v>2133</v>
      </c>
      <c r="H9" s="63">
        <f>IFERROR(B9/G9,0)</f>
        <v/>
      </c>
      <c r="I9" s="61" t="n">
        <v>174</v>
      </c>
      <c r="J9" s="28">
        <f>I9/G9</f>
        <v/>
      </c>
      <c r="K9" s="46">
        <f>I9+'Aug 27 - Sept 2'!I9</f>
        <v/>
      </c>
      <c r="L9" s="89">
        <f>K9/SUM(G9+'Aug 27 - Sept 2'!G9)</f>
        <v/>
      </c>
      <c r="M9" s="73" t="n">
        <v>9681.5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</f>
        <v/>
      </c>
      <c r="L10" s="89">
        <f>K10/SUM(G10+'Aug 27 - Sept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164324.121</v>
      </c>
      <c r="D11" s="73" t="n">
        <v>142713.864</v>
      </c>
      <c r="E11" s="77">
        <f>IFERROR(SUM(B11-D11)/D11,0)</f>
        <v/>
      </c>
      <c r="F11" s="73" t="n">
        <v>135890.1</v>
      </c>
      <c r="G11" s="74" t="n">
        <v>987</v>
      </c>
      <c r="H11" s="63">
        <f>IFERROR(B11/G11,0)</f>
        <v/>
      </c>
      <c r="I11" s="61" t="n">
        <v>74</v>
      </c>
      <c r="J11" s="28">
        <f>I11/G11</f>
        <v/>
      </c>
      <c r="K11" s="46">
        <f>I11+'Aug 27 - Sept 2'!I11</f>
        <v/>
      </c>
      <c r="L11" s="89">
        <f>K11/SUM(G11+'Aug 27 - Sept 2'!G11)</f>
        <v/>
      </c>
      <c r="M11" s="73" t="n">
        <v>6835.35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393972.6464999999</v>
      </c>
      <c r="D12" s="73" t="n">
        <v>352244.268</v>
      </c>
      <c r="E12" s="77">
        <f>IFERROR(SUM(B12-D12)/D12,0)</f>
        <v/>
      </c>
      <c r="F12" s="73" t="n">
        <v>310234.99</v>
      </c>
      <c r="G12" s="74" t="n">
        <v>2060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</f>
        <v/>
      </c>
      <c r="L12" s="89">
        <f>K12/SUM(G12+'Aug 27 - Sept 2'!G12)</f>
        <v/>
      </c>
      <c r="M12" s="73" t="n">
        <v>11978.05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134923.4855</v>
      </c>
      <c r="D13" s="73" t="n">
        <v>128887.146</v>
      </c>
      <c r="E13" s="77">
        <f>IFERROR(SUM(B13-D13)/D13,0)</f>
        <v/>
      </c>
      <c r="F13" s="73" t="n">
        <v>109276.21</v>
      </c>
      <c r="G13" s="74" t="n">
        <v>906</v>
      </c>
      <c r="H13" s="63">
        <f>IFERROR(B13/G13,0)</f>
        <v/>
      </c>
      <c r="I13" s="61" t="n">
        <v>69</v>
      </c>
      <c r="J13" s="28">
        <f>I13/G13</f>
        <v/>
      </c>
      <c r="K13" s="46">
        <f>I13+'Aug 27 - Sept 2'!I13</f>
        <v/>
      </c>
      <c r="L13" s="89">
        <f>K13/SUM(G13+'Aug 27 - Sept 2'!G13)</f>
        <v/>
      </c>
      <c r="M13" s="73" t="n">
        <v>7372.75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264032.18</v>
      </c>
      <c r="D14" s="73" t="n">
        <v>171323.0304</v>
      </c>
      <c r="E14" s="77">
        <f>IFERROR(SUM(B14-D14)/D14,0)</f>
        <v/>
      </c>
      <c r="F14" s="73" t="n">
        <v>214545.41</v>
      </c>
      <c r="G14" s="74" t="n">
        <v>1631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</f>
        <v/>
      </c>
      <c r="L14" s="89">
        <f>K14/SUM(G14+'Aug 27 - Sept 2'!G14)</f>
        <v/>
      </c>
      <c r="M14" s="73" t="n">
        <v>7263.86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77253.711</v>
      </c>
      <c r="D15" s="73" t="n">
        <v>63520.7316</v>
      </c>
      <c r="E15" s="77">
        <f>IFERROR(SUM(B15-D15)/D15,0)</f>
        <v/>
      </c>
      <c r="F15" s="73" t="n">
        <v>61260.32</v>
      </c>
      <c r="G15" s="74" t="n">
        <v>506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</f>
        <v/>
      </c>
      <c r="L15" s="89">
        <f>K15/SUM(G15+'Aug 27 - Sept 2'!G15)</f>
        <v/>
      </c>
      <c r="M15" s="73" t="n">
        <v>2943.25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</f>
        <v/>
      </c>
      <c r="L16" s="89">
        <f>K16/SUM(G16+'Aug 27 - Sept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</f>
        <v/>
      </c>
      <c r="L17" s="89">
        <f>K17/SUM(G17+'Aug 27 - Sept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139809.985</v>
      </c>
      <c r="D18" s="73" t="n">
        <v>142432.056</v>
      </c>
      <c r="E18" s="77">
        <f>IFERROR(SUM(B18-D18)/D18,0)</f>
        <v/>
      </c>
      <c r="F18" s="73" t="n">
        <v>130538.82</v>
      </c>
      <c r="G18" s="74" t="n">
        <v>1115</v>
      </c>
      <c r="H18" s="63">
        <f>IFERROR(B18/G18,0)</f>
        <v/>
      </c>
      <c r="I18" s="61" t="n">
        <v>151</v>
      </c>
      <c r="J18" s="28">
        <f>I18/G18</f>
        <v/>
      </c>
      <c r="K18" s="46">
        <f>I18+'Aug 27 - Sept 2'!I18</f>
        <v/>
      </c>
      <c r="L18" s="89">
        <f>K18/SUM(G18+'Aug 27 - Sept 2'!G18)</f>
        <v/>
      </c>
      <c r="M18" s="73" t="n">
        <v>3346.8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125212.92</v>
      </c>
      <c r="D19" s="73" t="n">
        <v>111958.374</v>
      </c>
      <c r="E19" s="77">
        <f>IFERROR(SUM(B19-D19)/D19,0)</f>
        <v/>
      </c>
      <c r="F19" s="73" t="n">
        <v>118549.89</v>
      </c>
      <c r="G19" s="74" t="n">
        <v>763</v>
      </c>
      <c r="H19" s="63">
        <f>IFERROR(B19/G19,0)</f>
        <v/>
      </c>
      <c r="I19" s="61" t="n">
        <v>67</v>
      </c>
      <c r="J19" s="28">
        <f>I19/G19</f>
        <v/>
      </c>
      <c r="K19" s="46">
        <f>I19+'Aug 27 - Sept 2'!I19</f>
        <v/>
      </c>
      <c r="L19" s="89">
        <f>K19/SUM(G19+'Aug 27 - Sept 2'!G19)</f>
        <v/>
      </c>
      <c r="M19" s="73" t="n">
        <v>2744.9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229993.79</v>
      </c>
      <c r="D20" s="73" t="n">
        <v>0</v>
      </c>
      <c r="E20" s="77">
        <f>IFERROR(SUM(B20-D20)/D20,0)</f>
        <v/>
      </c>
      <c r="F20" s="73" t="n">
        <v>194777.78</v>
      </c>
      <c r="G20" s="74" t="n">
        <v>1292</v>
      </c>
      <c r="H20" s="63">
        <f>IFERROR(B20/G20,0)</f>
        <v/>
      </c>
      <c r="I20" s="74" t="n">
        <v>71</v>
      </c>
      <c r="J20" s="28">
        <f>I20/G20</f>
        <v/>
      </c>
      <c r="K20" s="46">
        <f>I20+'Aug 27 - Sept 2'!I20</f>
        <v/>
      </c>
      <c r="L20" s="89">
        <f>K20/SUM(G20+'Aug 27 - Sept 2'!G20)</f>
        <v/>
      </c>
      <c r="M20" s="73" t="n">
        <v>6736.95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2320090.235499999</v>
      </c>
      <c r="D4" s="3" t="n">
        <v>1950875.0802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</f>
        <v/>
      </c>
      <c r="L4" s="89">
        <f>K4/SUM(G4+'Aug 27 - Sept 2'!G4+'Sept 3 - Sept 9'!G4)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</f>
        <v/>
      </c>
      <c r="L5" s="89">
        <f>K5/SUM(G5+'Aug 27 - Sept 2'!G5+'Sept 3 - Sept 9'!G5)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245547.6435</v>
      </c>
      <c r="D6" s="73" t="n">
        <v>229273.5624</v>
      </c>
      <c r="E6" s="77">
        <f>IFERROR(SUM(B6-D6)/D6,0)</f>
        <v/>
      </c>
      <c r="F6" s="73" t="n">
        <v>217042.1</v>
      </c>
      <c r="G6" s="74" t="n">
        <v>1485</v>
      </c>
      <c r="H6" s="63">
        <f>IFERROR(B6/G6,0)</f>
        <v/>
      </c>
      <c r="I6" s="61" t="n">
        <v>88</v>
      </c>
      <c r="J6" s="28">
        <f>I6/G6</f>
        <v/>
      </c>
      <c r="K6" s="46">
        <f>I6+'Aug 27 - Sept 2'!I6+'Sept 3 - Sept 9'!I6</f>
        <v/>
      </c>
      <c r="L6" s="89">
        <f>K6/SUM(G6+'Aug 27 - Sept 2'!G6+'Sept 3 - Sept 9'!G6)</f>
        <v/>
      </c>
      <c r="M6" s="73" t="n">
        <v>7921.4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214721.79</v>
      </c>
      <c r="D7" s="73" t="n">
        <v>175260.8754</v>
      </c>
      <c r="E7" s="77">
        <f>IFERROR(SUM(B7-D7)/D7,0)</f>
        <v/>
      </c>
      <c r="F7" s="73" t="n">
        <v>173402.6</v>
      </c>
      <c r="G7" s="74" t="n">
        <v>1223</v>
      </c>
      <c r="H7" s="63">
        <f>IFERROR(B7/G7,0)</f>
        <v/>
      </c>
      <c r="I7" s="61" t="n">
        <v>242</v>
      </c>
      <c r="J7" s="28">
        <f>I7/G7</f>
        <v/>
      </c>
      <c r="K7" s="46">
        <f>I7+'Aug 27 - Sept 2'!I7+'Sept 3 - Sept 9'!I7</f>
        <v/>
      </c>
      <c r="L7" s="89">
        <f>K7/SUM(G7+'Aug 27 - Sept 2'!G7+'Sept 3 - Sept 9'!G7)</f>
        <v/>
      </c>
      <c r="M7" s="73" t="n">
        <v>5389.7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103442.1205</v>
      </c>
      <c r="D8" s="73" t="n">
        <v>108731.1024</v>
      </c>
      <c r="E8" s="77">
        <f>IFERROR(SUM(B8-D8)/D8,0)</f>
        <v/>
      </c>
      <c r="F8" s="73" t="n">
        <v>82418.49000000001</v>
      </c>
      <c r="G8" s="74" t="n">
        <v>621</v>
      </c>
      <c r="H8" s="63">
        <f>IFERROR(B8/G8,0)</f>
        <v/>
      </c>
      <c r="I8" s="61" t="n">
        <v>94</v>
      </c>
      <c r="J8" s="28">
        <f>I8/G8</f>
        <v/>
      </c>
      <c r="K8" s="46">
        <f>I8+'Aug 27 - Sept 2'!I8+'Sept 3 - Sept 9'!I8</f>
        <v/>
      </c>
      <c r="L8" s="89">
        <f>K8/SUM(G8+'Aug 27 - Sept 2'!G8+'Sept 3 - Sept 9'!G8)</f>
        <v/>
      </c>
      <c r="M8" s="73" t="n">
        <v>3692.9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290044.1335</v>
      </c>
      <c r="D9" s="73" t="n">
        <v>347623.0842</v>
      </c>
      <c r="E9" s="77">
        <f>IFERROR(SUM(B9-D9)/D9,0)</f>
        <v/>
      </c>
      <c r="F9" s="73" t="n">
        <v>272478.7</v>
      </c>
      <c r="G9" s="74" t="n">
        <v>2203</v>
      </c>
      <c r="H9" s="63">
        <f>IFERROR(B9/G9,0)</f>
        <v/>
      </c>
      <c r="I9" s="61" t="n">
        <v>260</v>
      </c>
      <c r="J9" s="28">
        <f>I9/G9</f>
        <v/>
      </c>
      <c r="K9" s="46">
        <f>I9+'Aug 27 - Sept 2'!I9+'Sept 3 - Sept 9'!I9</f>
        <v/>
      </c>
      <c r="L9" s="89">
        <f>K9/SUM(G9+'Aug 27 - Sept 2'!G9+'Sept 3 - Sept 9'!G9)</f>
        <v/>
      </c>
      <c r="M9" s="73" t="n">
        <v>8840.6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</f>
        <v/>
      </c>
      <c r="L10" s="89">
        <f>K10/SUM(G10+'Aug 27 - Sept 2'!G10+'Sept 3 - Sept 9'!G10)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156273.615</v>
      </c>
      <c r="D11" s="73" t="n">
        <v>128020.4838</v>
      </c>
      <c r="E11" s="77">
        <f>IFERROR(SUM(B11-D11)/D11,0)</f>
        <v/>
      </c>
      <c r="F11" s="73" t="n">
        <v>143496.9</v>
      </c>
      <c r="G11" s="74" t="n">
        <v>1004</v>
      </c>
      <c r="H11" s="63">
        <f>IFERROR(B11/G11,0)</f>
        <v/>
      </c>
      <c r="I11" s="61" t="n">
        <v>75</v>
      </c>
      <c r="J11" s="28">
        <f>I11/G11</f>
        <v/>
      </c>
      <c r="K11" s="46">
        <f>I11+'Aug 27 - Sept 2'!I11+'Sept 3 - Sept 9'!I11</f>
        <v/>
      </c>
      <c r="L11" s="89">
        <f>K11/SUM(G11+'Aug 27 - Sept 2'!G11+'Sept 3 - Sept 9'!G11)</f>
        <v/>
      </c>
      <c r="M11" s="73" t="n">
        <v>8006.2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356770.2385</v>
      </c>
      <c r="D12" s="73" t="n">
        <v>319532.5607999999</v>
      </c>
      <c r="E12" s="77">
        <f>IFERROR(SUM(B12-D12)/D12,0)</f>
        <v/>
      </c>
      <c r="F12" s="73" t="n">
        <v>317744.93</v>
      </c>
      <c r="G12" s="74" t="n">
        <v>2249</v>
      </c>
      <c r="H12" s="63">
        <f>IFERROR(B12/G12,0)</f>
        <v/>
      </c>
      <c r="I12" s="61" t="n">
        <v>159</v>
      </c>
      <c r="J12" s="28">
        <f>I12/G12</f>
        <v/>
      </c>
      <c r="K12" s="46">
        <f>I12+'Aug 27 - Sept 2'!I12+'Sept 3 - Sept 9'!I12</f>
        <v/>
      </c>
      <c r="L12" s="89">
        <f>K12/SUM(G12+'Aug 27 - Sept 2'!G12+'Sept 3 - Sept 9'!G12)</f>
        <v/>
      </c>
      <c r="M12" s="73" t="n">
        <v>10407.25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125667.6415</v>
      </c>
      <c r="D13" s="73" t="n">
        <v>111526.941</v>
      </c>
      <c r="E13" s="77">
        <f>IFERROR(SUM(B13-D13)/D13,0)</f>
        <v/>
      </c>
      <c r="F13" s="73" t="n">
        <v>118270.4</v>
      </c>
      <c r="G13" s="74" t="n">
        <v>999</v>
      </c>
      <c r="H13" s="63">
        <f>IFERROR(B13/G13,0)</f>
        <v/>
      </c>
      <c r="I13" s="61" t="n">
        <v>96</v>
      </c>
      <c r="J13" s="28">
        <f>I13/G13</f>
        <v/>
      </c>
      <c r="K13" s="46">
        <f>I13+'Aug 27 - Sept 2'!I13+'Sept 3 - Sept 9'!I13</f>
        <v/>
      </c>
      <c r="L13" s="89">
        <f>K13/SUM(G13+'Aug 27 - Sept 2'!G13+'Sept 3 - Sept 9'!G13)</f>
        <v/>
      </c>
      <c r="M13" s="73" t="n">
        <v>8382.75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246727.2215</v>
      </c>
      <c r="D14" s="73" t="n">
        <v>177204.1308</v>
      </c>
      <c r="E14" s="77">
        <f>IFERROR(SUM(B14-D14)/D14,0)</f>
        <v/>
      </c>
      <c r="F14" s="73" t="n">
        <v>189134.7</v>
      </c>
      <c r="G14" s="74" t="n">
        <v>1518</v>
      </c>
      <c r="H14" s="63">
        <f>IFERROR(B14/G14,0)</f>
        <v/>
      </c>
      <c r="I14" s="61" t="n">
        <v>123</v>
      </c>
      <c r="J14" s="28">
        <f>I14/G14</f>
        <v/>
      </c>
      <c r="K14" s="46">
        <f>I14+'Aug 27 - Sept 2'!I14+'Sept 3 - Sept 9'!I14</f>
        <v/>
      </c>
      <c r="L14" s="89">
        <f>K14/SUM(G14+'Aug 27 - Sept 2'!G14+'Sept 3 - Sept 9'!G14)</f>
        <v/>
      </c>
      <c r="M14" s="73" t="n">
        <v>7142.24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70449.36799999999</v>
      </c>
      <c r="D15" s="73" t="n">
        <v>64937.7972</v>
      </c>
      <c r="E15" s="77">
        <f>IFERROR(SUM(B15-D15)/D15,0)</f>
        <v/>
      </c>
      <c r="F15" s="73" t="n">
        <v>63439.43</v>
      </c>
      <c r="G15" s="74" t="n">
        <v>522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</f>
        <v/>
      </c>
      <c r="L15" s="89">
        <f>K15/SUM(G15+'Aug 27 - Sept 2'!G15+'Sept 3 - Sept 9'!G15)</f>
        <v/>
      </c>
      <c r="M15" s="73" t="n">
        <v>6136.4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</f>
        <v/>
      </c>
      <c r="L16" s="89">
        <f>K16/SUM(G16+'Aug 27 - Sept 2'!G16+'Sept 3 - Sept 9'!G16)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</f>
        <v/>
      </c>
      <c r="L17" s="89">
        <f>K17/SUM(G17+'Aug 27 - Sept 2'!G17+'Sept 3 - Sept 9'!G17)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150119.643</v>
      </c>
      <c r="D18" s="73" t="n">
        <v>157703.8722</v>
      </c>
      <c r="E18" s="77">
        <f>IFERROR(SUM(B18-D18)/D18,0)</f>
        <v/>
      </c>
      <c r="F18" s="73" t="n">
        <v>142475.2</v>
      </c>
      <c r="G18" s="74" t="n">
        <v>1327</v>
      </c>
      <c r="H18" s="63">
        <f>IFERROR(B18/G18,0)</f>
        <v/>
      </c>
      <c r="I18" s="61" t="n">
        <v>144</v>
      </c>
      <c r="J18" s="28">
        <f>I18/G18</f>
        <v/>
      </c>
      <c r="K18" s="46">
        <f>I18+'Aug 27 - Sept 2'!I18+'Sept 3 - Sept 9'!I18</f>
        <v/>
      </c>
      <c r="L18" s="89">
        <f>K18/SUM(G18+'Aug 27 - Sept 2'!G18+'Sept 3 - Sept 9'!G18)</f>
        <v/>
      </c>
      <c r="M18" s="73" t="n">
        <v>2922.9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136332.3735</v>
      </c>
      <c r="D19" s="73" t="n">
        <v>131060.67</v>
      </c>
      <c r="E19" s="77">
        <f>IFERROR(SUM(B19-D19)/D19,0)</f>
        <v/>
      </c>
      <c r="F19" s="73" t="n">
        <v>114165.7</v>
      </c>
      <c r="G19" s="74" t="n">
        <v>734</v>
      </c>
      <c r="H19" s="63">
        <f>IFERROR(B19/G19,0)</f>
        <v/>
      </c>
      <c r="I19" s="61" t="n">
        <v>64</v>
      </c>
      <c r="J19" s="28">
        <f>I19/G19</f>
        <v/>
      </c>
      <c r="K19" s="46">
        <f>I19+'Aug 27 - Sept 2'!I19+'Sept 3 - Sept 9'!I19</f>
        <v/>
      </c>
      <c r="L19" s="89">
        <f>K19/SUM(G19+'Aug 27 - Sept 2'!G19+'Sept 3 - Sept 9'!G19)</f>
        <v/>
      </c>
      <c r="M19" s="73" t="n">
        <v>4413.2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223994.447</v>
      </c>
      <c r="D20" s="73" t="n">
        <v>0</v>
      </c>
      <c r="E20" s="77">
        <f>IFERROR(SUM(B20-D20)/D20,0)</f>
        <v/>
      </c>
      <c r="F20" s="73" t="n">
        <v>208719</v>
      </c>
      <c r="G20" s="74" t="n">
        <v>1419</v>
      </c>
      <c r="H20" s="63">
        <f>IFERROR(B20/G20,0)</f>
        <v/>
      </c>
      <c r="I20" s="74" t="n">
        <v>122</v>
      </c>
      <c r="J20" s="28">
        <f>I20/G20</f>
        <v/>
      </c>
      <c r="K20" s="46">
        <f>I20+'Aug 27 - Sept 2'!I20+'Sept 3 - Sept 9'!I20</f>
        <v/>
      </c>
      <c r="L20" s="89">
        <f>K20/SUM(G20+'Aug 27 - Sept 2'!G20+'Sept 3 - Sept 9'!G20)</f>
        <v/>
      </c>
      <c r="M20" s="73" t="n">
        <v>9538.450000000001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(((B4-B20)-D4)/D4)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(Gross)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2349206.3725</v>
      </c>
      <c r="D4" s="3" t="n">
        <v>1993703.5122</v>
      </c>
      <c r="E4" s="76">
        <f>IFERROR((SUM(B4-D4)/D4),0)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</f>
        <v/>
      </c>
      <c r="L4" s="89">
        <f>K4/SUM(G4+'Aug 27 - Sept 2'!G4+'Sept 3 - Sept 9'!G4+'Sept 10 - Sept 16'!G4)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77">
        <f>IFERROR(SUM(B5-D5)/D5,0)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</f>
        <v/>
      </c>
      <c r="L5" s="89">
        <f>K5/SUM(G5+'Aug 27 - Sept 2'!G5+'Sept 3 - Sept 9'!G5+'Sept 10 - Sept 16'!G5)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249598.415</v>
      </c>
      <c r="D6" s="73" t="n">
        <v>233441.2884</v>
      </c>
      <c r="E6" s="77">
        <f>IFERROR(SUM(B6-D6)/D6,0)</f>
        <v/>
      </c>
      <c r="F6" s="73" t="n">
        <v>247678.2</v>
      </c>
      <c r="G6" s="74" t="n">
        <v>1677</v>
      </c>
      <c r="H6" s="63">
        <f>IFERROR(B6/G6,0)</f>
        <v/>
      </c>
      <c r="I6" s="61" t="n">
        <v>66</v>
      </c>
      <c r="J6" s="28">
        <f>I6/G6</f>
        <v/>
      </c>
      <c r="K6" s="46">
        <f>I6+'Aug 27 - Sept 2'!I6+'Sept 3 - Sept 9'!I6+'Sept 10 - Sept 16'!I6</f>
        <v/>
      </c>
      <c r="L6" s="89">
        <f>K6/SUM(G6+'Aug 27 - Sept 2'!G6+'Sept 3 - Sept 9'!G6+'Sept 10 - Sept 16'!G6)</f>
        <v/>
      </c>
      <c r="M6" s="73" t="n">
        <v>7494.7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199412.99</v>
      </c>
      <c r="D7" s="73" t="n">
        <v>171867.0954</v>
      </c>
      <c r="E7" s="77">
        <f>IFERROR(SUM(B7-D7)/D7,0)</f>
        <v/>
      </c>
      <c r="F7" s="73" t="n">
        <v>167848.1</v>
      </c>
      <c r="G7" s="74" t="n">
        <v>1268</v>
      </c>
      <c r="H7" s="63">
        <f>IFERROR(B7/G7,0)</f>
        <v/>
      </c>
      <c r="I7" s="61" t="n">
        <v>188</v>
      </c>
      <c r="J7" s="28">
        <f>I7/G7</f>
        <v/>
      </c>
      <c r="K7" s="46">
        <f>I7+'Aug 27 - Sept 2'!I7+'Sept 3 - Sept 9'!I7+'Sept 10 - Sept 16'!I7</f>
        <v/>
      </c>
      <c r="L7" s="89">
        <f>K7/SUM(G7+'Aug 27 - Sept 2'!G7+'Sept 3 - Sept 9'!G7+'Sept 10 - Sept 16'!G7)</f>
        <v/>
      </c>
      <c r="M7" s="73" t="n">
        <v>4266.5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94781.2635</v>
      </c>
      <c r="D8" s="73" t="n">
        <v>110380.3974</v>
      </c>
      <c r="E8" s="77">
        <f>IFERROR(SUM(B8-D8)/D8,0)</f>
        <v/>
      </c>
      <c r="F8" s="73" t="n">
        <v>109260.8</v>
      </c>
      <c r="G8" s="74" t="n">
        <v>772</v>
      </c>
      <c r="H8" s="63">
        <f>IFERROR(B8/G8,0)</f>
        <v/>
      </c>
      <c r="I8" s="61" t="n">
        <v>71</v>
      </c>
      <c r="J8" s="28">
        <f>I8/G8</f>
        <v/>
      </c>
      <c r="K8" s="46">
        <f>I8+'Aug 27 - Sept 2'!I8+'Sept 3 - Sept 9'!I8+'Sept 10 - Sept 16'!I8</f>
        <v/>
      </c>
      <c r="L8" s="89">
        <f>K8/SUM(G8+'Aug 27 - Sept 2'!G8+'Sept 3 - Sept 9'!G8+'Sept 10 - Sept 16'!G8)</f>
        <v/>
      </c>
      <c r="M8" s="73" t="n">
        <v>3716.5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313350.505</v>
      </c>
      <c r="D9" s="73" t="n">
        <v>345749.3573999999</v>
      </c>
      <c r="E9" s="77">
        <f>IFERROR(SUM(B9-D9)/D9,0)</f>
        <v/>
      </c>
      <c r="F9" s="73" t="n">
        <v>289688.6</v>
      </c>
      <c r="G9" s="74" t="n">
        <v>2435</v>
      </c>
      <c r="H9" s="63">
        <f>IFERROR(B9/G9,0)</f>
        <v/>
      </c>
      <c r="I9" s="61" t="n">
        <v>228</v>
      </c>
      <c r="J9" s="28">
        <f>I9/G9</f>
        <v/>
      </c>
      <c r="K9" s="46">
        <f>I9+'Aug 27 - Sept 2'!I9+'Sept 3 - Sept 9'!I9+'Sept 10 - Sept 16'!I9</f>
        <v/>
      </c>
      <c r="L9" s="89">
        <f>K9/SUM(G9+'Aug 27 - Sept 2'!G9+'Sept 3 - Sept 9'!G9+'Sept 10 - Sept 16'!G9)</f>
        <v/>
      </c>
      <c r="M9" s="73" t="n">
        <v>7754.8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>
        <v>0</v>
      </c>
      <c r="E10" s="77">
        <f>IFERROR(SUM(B10-D10)/D10,0)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</f>
        <v/>
      </c>
      <c r="L10" s="89">
        <f>K10/SUM(G10+'Aug 27 - Sept 2'!G10+'Sept 3 - Sept 9'!G10+'Sept 10 - Sept 16'!G10)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165021.435</v>
      </c>
      <c r="D11" s="73" t="n">
        <v>123127.695</v>
      </c>
      <c r="E11" s="77">
        <f>IFERROR(SUM(B11-D11)/D11,0)</f>
        <v/>
      </c>
      <c r="F11" s="73" t="n">
        <v>122339.1</v>
      </c>
      <c r="G11" s="74" t="n">
        <v>872</v>
      </c>
      <c r="H11" s="63">
        <f>IFERROR(B11/G11,0)</f>
        <v/>
      </c>
      <c r="I11" s="61" t="n">
        <v>68</v>
      </c>
      <c r="J11" s="28">
        <f>I11/G11</f>
        <v/>
      </c>
      <c r="K11" s="46">
        <f>I11+'Aug 27 - Sept 2'!I11+'Sept 3 - Sept 9'!I11+'Sept 10 - Sept 16'!I11</f>
        <v/>
      </c>
      <c r="L11" s="89">
        <f>K11/SUM(G11+'Aug 27 - Sept 2'!G11+'Sept 3 - Sept 9'!G11+'Sept 10 - Sept 16'!G11)</f>
        <v/>
      </c>
      <c r="M11" s="73" t="n">
        <v>4413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365406.6695</v>
      </c>
      <c r="D12" s="73" t="n">
        <v>320750.9016</v>
      </c>
      <c r="E12" s="77">
        <f>IFERROR(SUM(B12-D12)/D12,0)</f>
        <v/>
      </c>
      <c r="F12" s="73" t="n">
        <v>304645.6</v>
      </c>
      <c r="G12" s="74" t="n">
        <v>2089</v>
      </c>
      <c r="H12" s="63">
        <f>IFERROR(B12/G12,0)</f>
        <v/>
      </c>
      <c r="I12" s="61" t="n">
        <v>120</v>
      </c>
      <c r="J12" s="28">
        <f>I12/G12</f>
        <v/>
      </c>
      <c r="K12" s="46">
        <f>I12+'Aug 27 - Sept 2'!I12+'Sept 3 - Sept 9'!I12+'Sept 10 - Sept 16'!I12</f>
        <v/>
      </c>
      <c r="L12" s="89">
        <f>K12/SUM(G12+'Aug 27 - Sept 2'!G12+'Sept 3 - Sept 9'!G12+'Sept 10 - Sept 16'!G12)</f>
        <v/>
      </c>
      <c r="M12" s="73" t="n">
        <v>8843.35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136010.96</v>
      </c>
      <c r="D13" s="73" t="n">
        <v>131435.16</v>
      </c>
      <c r="E13" s="77">
        <f>IFERROR(SUM(B13-D13)/D13,0)</f>
        <v/>
      </c>
      <c r="F13" s="73" t="n">
        <v>142460.8</v>
      </c>
      <c r="G13" s="74" t="n">
        <v>1212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</f>
        <v/>
      </c>
      <c r="L13" s="89">
        <f>K13/SUM(G13+'Aug 27 - Sept 2'!G13+'Sept 3 - Sept 9'!G13+'Sept 10 - Sept 16'!G13)</f>
        <v/>
      </c>
      <c r="M13" s="73" t="n">
        <v>8840.5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217504.905</v>
      </c>
      <c r="D14" s="73" t="n">
        <v>165097.5018</v>
      </c>
      <c r="E14" s="77">
        <f>IFERROR(SUM(B14-D14)/D14,0)</f>
        <v/>
      </c>
      <c r="F14" s="73" t="n">
        <v>207479.7</v>
      </c>
      <c r="G14" s="74" t="n">
        <v>1720</v>
      </c>
      <c r="H14" s="63">
        <f>IFERROR(B14/G14,0)</f>
        <v/>
      </c>
      <c r="I14" s="61" t="n">
        <v>137</v>
      </c>
      <c r="J14" s="28">
        <f>I14/G14</f>
        <v/>
      </c>
      <c r="K14" s="46">
        <f>I14+'Aug 27 - Sept 2'!I14+'Sept 3 - Sept 9'!I14+'Sept 10 - Sept 16'!I14</f>
        <v/>
      </c>
      <c r="L14" s="89">
        <f>K14/SUM(G14+'Aug 27 - Sept 2'!G14+'Sept 3 - Sept 9'!G14+'Sept 10 - Sept 16'!G14)</f>
        <v/>
      </c>
      <c r="M14" s="73" t="n">
        <v>5016.65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72955.34449999999</v>
      </c>
      <c r="D15" s="73" t="n">
        <v>66926.20799999998</v>
      </c>
      <c r="E15" s="77">
        <f>IFERROR(SUM(B15-D15)/D15,0)</f>
        <v/>
      </c>
      <c r="F15" s="73" t="n">
        <v>87154.07000000001</v>
      </c>
      <c r="G15" s="74" t="n">
        <v>733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</f>
        <v/>
      </c>
      <c r="L15" s="89">
        <f>K15/SUM(G15+'Aug 27 - Sept 2'!G15+'Sept 3 - Sept 9'!G15+'Sept 10 - Sept 16'!G15)</f>
        <v/>
      </c>
      <c r="M15" s="73" t="n">
        <v>4590.5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77" t="n"/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</f>
        <v/>
      </c>
      <c r="L16" s="89">
        <f>K16/SUM(G16+'Aug 27 - Sept 2'!G16+'Sept 3 - Sept 9'!G16+'Sept 10 - Sept 16'!G16)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77" t="n"/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</f>
        <v/>
      </c>
      <c r="L17" s="89">
        <f>K17/SUM(G17+'Aug 27 - Sept 2'!G17+'Sept 3 - Sept 9'!G17+'Sept 10 - Sept 16'!G17)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163846.48</v>
      </c>
      <c r="D18" s="73" t="n">
        <v>200922.7086</v>
      </c>
      <c r="E18" s="77">
        <f>IFERROR(SUM(B18-D18)/D18,0)</f>
        <v/>
      </c>
      <c r="F18" s="73" t="n">
        <v>170711.1</v>
      </c>
      <c r="G18" s="74" t="n">
        <v>1606</v>
      </c>
      <c r="H18" s="63">
        <f>IFERROR(B18/G18,0)</f>
        <v/>
      </c>
      <c r="I18" s="61" t="n">
        <v>135</v>
      </c>
      <c r="J18" s="28">
        <f>I18/G18</f>
        <v/>
      </c>
      <c r="K18" s="46">
        <f>I18+'Aug 27 - Sept 2'!I18+'Sept 3 - Sept 9'!I18+'Sept 10 - Sept 16'!I18</f>
        <v/>
      </c>
      <c r="L18" s="89">
        <f>K18/SUM(G18+'Aug 27 - Sept 2'!G18+'Sept 3 - Sept 9'!G18+'Sept 10 - Sept 16'!G18)</f>
        <v/>
      </c>
      <c r="M18" s="73" t="n">
        <v>5043.8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131290.555</v>
      </c>
      <c r="D19" s="73" t="n">
        <v>124005.1986</v>
      </c>
      <c r="E19" s="77">
        <f>IFERROR(SUM(B19-D19)/D19,0)</f>
        <v/>
      </c>
      <c r="F19" s="73" t="n">
        <v>115245.6</v>
      </c>
      <c r="G19" s="74" t="n">
        <v>782</v>
      </c>
      <c r="H19" s="63">
        <f>IFERROR(B19/G19,0)</f>
        <v/>
      </c>
      <c r="I19" s="61" t="n">
        <v>52</v>
      </c>
      <c r="J19" s="28">
        <f>I19/G19</f>
        <v/>
      </c>
      <c r="K19" s="46">
        <f>I19+'Aug 27 - Sept 2'!I19+'Sept 3 - Sept 9'!I19+'Sept 10 - Sept 16'!I19</f>
        <v/>
      </c>
      <c r="L19" s="89">
        <f>K19/SUM(G19+'Aug 27 - Sept 2'!G19+'Sept 3 - Sept 9'!G19+'Sept 10 - Sept 16'!G19)</f>
        <v/>
      </c>
      <c r="M19" s="73" t="n">
        <v>4314.9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240026.85</v>
      </c>
      <c r="D20" s="73" t="n">
        <v>0</v>
      </c>
      <c r="E20" s="77">
        <f>IFERROR(SUM(B20-D20)/D20,0)</f>
        <v/>
      </c>
      <c r="F20" s="73" t="n">
        <v>203495.8</v>
      </c>
      <c r="G20" s="74" t="n">
        <v>1636</v>
      </c>
      <c r="H20" s="63">
        <f>IFERROR(B20/G20,0)</f>
        <v/>
      </c>
      <c r="I20" s="74" t="n">
        <v>130</v>
      </c>
      <c r="J20" s="28">
        <f>I20/G20</f>
        <v/>
      </c>
      <c r="K20" s="46">
        <f>I20+'Aug 27 - Sept 2'!I20+'Sept 3 - Sept 9'!I20+'Sept 10 - Sept 16'!I20</f>
        <v/>
      </c>
      <c r="L20" s="89">
        <f>K20/SUM(G20+'Aug 27 - Sept 2'!G20+'Sept 3 - Sept 9'!G20+'Sept 10 - Sept 16'!G20)</f>
        <v/>
      </c>
      <c r="M20" s="73" t="n">
        <v>7036.15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19.6640625" bestFit="1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2493208.5905</v>
      </c>
      <c r="D4" s="3" t="n">
        <v>1938475.47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</f>
        <v/>
      </c>
      <c r="L4" s="89">
        <f>K4/SUM(G4+'Aug 27 - Sept 2'!G4+'Sept 3 - Sept 9'!G4+'Sept 10 - Sept 16'!G4+'Sept 17 - Sept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</f>
        <v/>
      </c>
      <c r="L5" s="89">
        <f>K5/SUM(G5+'Aug 27 - Sept 2'!G5+'Sept 3 - Sept 9'!G5+'Sept 10 - Sept 16'!G5+'Sept 17 - Sept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284829.93</v>
      </c>
      <c r="D6" s="73" t="n">
        <v>261914.84</v>
      </c>
      <c r="E6" s="86">
        <f>IFERROR((SUM(F6-D6)/D6),0)</f>
        <v/>
      </c>
      <c r="F6" s="73" t="n">
        <v>284082.02</v>
      </c>
      <c r="G6" s="74" t="n">
        <v>2042</v>
      </c>
      <c r="H6" s="63">
        <f>IFERROR(B6/G6,0)</f>
        <v/>
      </c>
      <c r="I6" s="61" t="n">
        <v>121</v>
      </c>
      <c r="J6" s="28">
        <f>I6/G6</f>
        <v/>
      </c>
      <c r="K6" s="46">
        <f>I6+'Aug 27 - Sept 2'!I6+'Sept 3 - Sept 9'!I6+'Sept 10 - Sept 16'!I6+'Sept 17 - Sept 23'!I6</f>
        <v/>
      </c>
      <c r="L6" s="89">
        <f>K6/SUM(G6+'Aug 27 - Sept 2'!G6+'Sept 3 - Sept 9'!G6+'Sept 10 - Sept 16'!G6+'Sept 17 - Sept 23'!G6)</f>
        <v/>
      </c>
      <c r="M6" s="73" t="n">
        <v>9840.1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193025.315</v>
      </c>
      <c r="D7" s="73" t="n">
        <v>148123.15</v>
      </c>
      <c r="E7" s="86">
        <f>IFERROR((SUM(F7-D7)/D7),0)</f>
        <v/>
      </c>
      <c r="F7" s="73" t="n">
        <v>196824.8</v>
      </c>
      <c r="G7" s="74" t="n">
        <v>1463</v>
      </c>
      <c r="H7" s="63">
        <f>IFERROR(B7/G7,0)</f>
        <v/>
      </c>
      <c r="I7" s="61" t="n">
        <v>213</v>
      </c>
      <c r="J7" s="28">
        <f>I7/G7</f>
        <v/>
      </c>
      <c r="K7" s="46">
        <f>I7+'Aug 27 - Sept 2'!I7+'Sept 3 - Sept 9'!I7+'Sept 10 - Sept 16'!I7+'Sept 17 - Sept 23'!I7</f>
        <v/>
      </c>
      <c r="L7" s="89">
        <f>K7/SUM(G7+'Aug 27 - Sept 2'!G7+'Sept 3 - Sept 9'!G7+'Sept 10 - Sept 16'!G7+'Sept 17 - Sept 23'!G7)</f>
        <v/>
      </c>
      <c r="M7" s="73" t="n">
        <v>6444.2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125649.92</v>
      </c>
      <c r="D8" s="73" t="n">
        <v>109917.35</v>
      </c>
      <c r="E8" s="86">
        <f>IFERROR((SUM(F8-D8)/D8),0)</f>
        <v/>
      </c>
      <c r="F8" s="73" t="n">
        <v>113236.98</v>
      </c>
      <c r="G8" s="74" t="n">
        <v>430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</f>
        <v/>
      </c>
      <c r="L8" s="89">
        <f>K8/SUM(G8+'Aug 27 - Sept 2'!G8+'Sept 3 - Sept 9'!G8+'Sept 10 - Sept 16'!G8+'Sept 17 - Sept 23'!G8)</f>
        <v/>
      </c>
      <c r="M8" s="73" t="n">
        <v>2248.2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333141.89</v>
      </c>
      <c r="D9" s="73" t="n">
        <v>322709.84</v>
      </c>
      <c r="E9" s="86">
        <f>IFERROR((SUM(F9-D9)/D9),0)</f>
        <v/>
      </c>
      <c r="F9" s="73" t="n">
        <v>351551.09</v>
      </c>
      <c r="G9" s="74" t="n">
        <v>2638</v>
      </c>
      <c r="H9" s="63">
        <f>IFERROR(B9/G9,0)</f>
        <v/>
      </c>
      <c r="I9" s="61" t="n">
        <v>145</v>
      </c>
      <c r="J9" s="28">
        <f>I9/G9</f>
        <v/>
      </c>
      <c r="K9" s="46">
        <f>I9+'Aug 27 - Sept 2'!I9+'Sept 3 - Sept 9'!I9+'Sept 10 - Sept 16'!I9+'Sept 17 - Sept 23'!I9</f>
        <v/>
      </c>
      <c r="L9" s="89">
        <f>K9/SUM(G9+'Aug 27 - Sept 2'!G9+'Sept 3 - Sept 9'!G9+'Sept 10 - Sept 16'!G9+'Sept 17 - Sept 23'!G9)</f>
        <v/>
      </c>
      <c r="M9" s="73" t="n">
        <v>7149.4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</f>
        <v/>
      </c>
      <c r="L10" s="89">
        <f>K10/SUM(G10+'Aug 27 - Sept 2'!G10+'Sept 3 - Sept 9'!G10+'Sept 10 - Sept 16'!G10+'Sept 17 - Sept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140689.965</v>
      </c>
      <c r="D11" s="73" t="n">
        <v>107755.2</v>
      </c>
      <c r="E11" s="86">
        <f>IFERROR((SUM(F11-D11)/D11),0)</f>
        <v/>
      </c>
      <c r="F11" s="73" t="n">
        <v>141268</v>
      </c>
      <c r="G11" s="74" t="n">
        <v>932</v>
      </c>
      <c r="H11" s="63">
        <f>IFERROR(B11/G11,0)</f>
        <v/>
      </c>
      <c r="I11" s="61" t="n">
        <v>82</v>
      </c>
      <c r="J11" s="28">
        <f>I11/G11</f>
        <v/>
      </c>
      <c r="K11" s="46">
        <f>I11+'Aug 27 - Sept 2'!I11+'Sept 3 - Sept 9'!I11+'Sept 10 - Sept 16'!I11+'Sept 17 - Sept 23'!I11</f>
        <v/>
      </c>
      <c r="L11" s="89">
        <f>K11/SUM(G11+'Aug 27 - Sept 2'!G11+'Sept 3 - Sept 9'!G11+'Sept 10 - Sept 16'!G11+'Sept 17 - Sept 23'!G11)</f>
        <v/>
      </c>
      <c r="M11" s="73" t="n">
        <v>5783.35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350342.4399999999</v>
      </c>
      <c r="D12" s="73" t="n">
        <v>310151.87</v>
      </c>
      <c r="E12" s="86">
        <f>IFERROR((SUM(F12-D12)/D12),0)</f>
        <v/>
      </c>
      <c r="F12" s="73" t="n">
        <v>328622.2</v>
      </c>
      <c r="G12" s="74" t="n">
        <v>2086</v>
      </c>
      <c r="H12" s="63">
        <f>IFERROR(B12/G12,0)</f>
        <v/>
      </c>
      <c r="I12" s="61" t="n">
        <v>98</v>
      </c>
      <c r="J12" s="28">
        <f>I12/G12</f>
        <v/>
      </c>
      <c r="K12" s="46">
        <f>I12+'Aug 27 - Sept 2'!I12+'Sept 3 - Sept 9'!I12+'Sept 10 - Sept 16'!I12+'Sept 17 - Sept 23'!I12</f>
        <v/>
      </c>
      <c r="L12" s="89">
        <f>K12/SUM(G12+'Aug 27 - Sept 2'!G12+'Sept 3 - Sept 9'!G12+'Sept 10 - Sept 16'!G12+'Sept 17 - Sept 23'!G12)</f>
        <v/>
      </c>
      <c r="M12" s="73" t="n">
        <v>12029.4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163829.92</v>
      </c>
      <c r="D13" s="73" t="n">
        <v>120065.27</v>
      </c>
      <c r="E13" s="86">
        <f>IFERROR((SUM(F13-D13)/D13),0)</f>
        <v/>
      </c>
      <c r="F13" s="73" t="n">
        <v>131554.4</v>
      </c>
      <c r="G13" s="74" t="n">
        <v>1132</v>
      </c>
      <c r="H13" s="63">
        <f>IFERROR(B13/G13,0)</f>
        <v/>
      </c>
      <c r="I13" s="61" t="n">
        <v>99</v>
      </c>
      <c r="J13" s="28">
        <f>I13/G13</f>
        <v/>
      </c>
      <c r="K13" s="46">
        <f>I13+'Aug 27 - Sept 2'!I13+'Sept 3 - Sept 9'!I13+'Sept 10 - Sept 16'!I13+'Sept 17 - Sept 23'!I13</f>
        <v/>
      </c>
      <c r="L13" s="89">
        <f>K13/SUM(G13+'Aug 27 - Sept 2'!G13+'Sept 3 - Sept 9'!G13+'Sept 10 - Sept 16'!G13+'Sept 17 - Sept 23'!G13)</f>
        <v/>
      </c>
      <c r="M13" s="73" t="n">
        <v>5718.4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238601.655</v>
      </c>
      <c r="D14" s="73" t="n">
        <v>185445.71</v>
      </c>
      <c r="E14" s="86">
        <f>IFERROR((SUM(F14-D14)/D14),0)</f>
        <v/>
      </c>
      <c r="F14" s="73" t="n">
        <v>215425.7</v>
      </c>
      <c r="G14" s="74" t="n">
        <v>932</v>
      </c>
      <c r="H14" s="63">
        <f>IFERROR(B14/G14,0)</f>
        <v/>
      </c>
      <c r="I14" s="61" t="n">
        <v>148</v>
      </c>
      <c r="J14" s="28">
        <f>I14/G14</f>
        <v/>
      </c>
      <c r="K14" s="46">
        <f>I14+'Aug 27 - Sept 2'!I14+'Sept 3 - Sept 9'!I14+'Sept 10 - Sept 16'!I14+'Sept 17 - Sept 23'!I14</f>
        <v/>
      </c>
      <c r="L14" s="89">
        <f>K14/SUM(G14+'Aug 27 - Sept 2'!G14+'Sept 3 - Sept 9'!G14+'Sept 10 - Sept 16'!G14+'Sept 17 - Sept 23'!G14)</f>
        <v/>
      </c>
      <c r="M14" s="73" t="n">
        <v>5098.95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100227.1805</v>
      </c>
      <c r="D15" s="73" t="n">
        <v>74194.34</v>
      </c>
      <c r="E15" s="86">
        <f>IFERROR((SUM(F15-D15)/D15),0)</f>
        <v/>
      </c>
      <c r="F15" s="73" t="n">
        <v>80221.00999999999</v>
      </c>
      <c r="G15" s="74" t="n">
        <v>615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</f>
        <v/>
      </c>
      <c r="L15" s="89">
        <f>K15/SUM(G15+'Aug 27 - Sept 2'!G15+'Sept 3 - Sept 9'!G15+'Sept 10 - Sept 16'!G15+'Sept 17 - Sept 23'!G15)</f>
        <v/>
      </c>
      <c r="M15" s="73" t="n">
        <v>3777.8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</f>
        <v/>
      </c>
      <c r="L16" s="89">
        <f>K16/SUM(G16+'Aug 27 - Sept 2'!G16+'Sept 3 - Sept 9'!G16+'Sept 10 - Sept 16'!G16+'Sept 17 - Sept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</f>
        <v/>
      </c>
      <c r="L17" s="89">
        <f>K17/SUM(G17+'Aug 27 - Sept 2'!G17+'Sept 3 - Sept 9'!G17+'Sept 10 - Sept 16'!G17+'Sept 17 - Sept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196317.765</v>
      </c>
      <c r="D18" s="73" t="n">
        <v>165485.94</v>
      </c>
      <c r="E18" s="86">
        <f>IFERROR((SUM(F18-D18)/D18),0)</f>
        <v/>
      </c>
      <c r="F18" s="73" t="n">
        <v>194318.3</v>
      </c>
      <c r="G18" s="74" t="n">
        <v>1784</v>
      </c>
      <c r="H18" s="63">
        <f>IFERROR(B18/G18,0)</f>
        <v/>
      </c>
      <c r="I18" s="61" t="n">
        <v>106</v>
      </c>
      <c r="J18" s="28">
        <f>I18/G18</f>
        <v/>
      </c>
      <c r="K18" s="46">
        <f>I18+'Aug 27 - Sept 2'!I18+'Sept 3 - Sept 9'!I18+'Sept 10 - Sept 16'!I18+'Sept 17 - Sept 23'!I18</f>
        <v/>
      </c>
      <c r="L18" s="89">
        <f>K18/SUM(G18+'Aug 27 - Sept 2'!G18+'Sept 3 - Sept 9'!G18+'Sept 10 - Sept 16'!G18+'Sept 17 - Sept 23'!G18)</f>
        <v/>
      </c>
      <c r="M18" s="73" t="n">
        <v>4679.8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132532.44</v>
      </c>
      <c r="D19" s="73" t="n">
        <v>132711.96</v>
      </c>
      <c r="E19" s="86">
        <f>IFERROR((SUM(F19-D19)/D19),0)</f>
        <v/>
      </c>
      <c r="F19" s="73" t="n">
        <v>140331.7</v>
      </c>
      <c r="G19" s="74" t="n">
        <v>968</v>
      </c>
      <c r="H19" s="63">
        <f>IFERROR(B19/G19,0)</f>
        <v/>
      </c>
      <c r="I19" s="61" t="n">
        <v>49</v>
      </c>
      <c r="J19" s="28">
        <f>I19/G19</f>
        <v/>
      </c>
      <c r="K19" s="46">
        <f>I19+'Aug 27 - Sept 2'!I19+'Sept 3 - Sept 9'!I19+'Sept 10 - Sept 16'!I19+'Sept 17 - Sept 23'!I19</f>
        <v/>
      </c>
      <c r="L19" s="89">
        <f>K19/SUM(G19+'Aug 27 - Sept 2'!G19+'Sept 3 - Sept 9'!G19+'Sept 10 - Sept 16'!G19+'Sept 17 - Sept 23'!G19)</f>
        <v/>
      </c>
      <c r="M19" s="73" t="n">
        <v>7350.7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234020.17</v>
      </c>
      <c r="D20" s="73" t="n">
        <v>0</v>
      </c>
      <c r="E20" s="86">
        <f>IFERROR((SUM(F20-D20)/D20),0)</f>
        <v/>
      </c>
      <c r="F20" s="73" t="n">
        <v>214261.49</v>
      </c>
      <c r="G20" s="74" t="n">
        <v>1526</v>
      </c>
      <c r="H20" s="63">
        <f>IFERROR(B20/G20,0)</f>
        <v/>
      </c>
      <c r="I20" s="74" t="n">
        <v>133</v>
      </c>
      <c r="J20" s="28">
        <f>I20/G20</f>
        <v/>
      </c>
      <c r="K20" s="46">
        <f>I20+'Aug 27 - Sept 2'!I20+'Sept 3 - Sept 9'!I20+'Sept 10 - Sept 16'!I20+'Sept 17 - Sept 23'!I20</f>
        <v/>
      </c>
      <c r="L20" s="89">
        <f>K20/SUM(G20+'Aug 27 - Sept 2'!G20+'Sept 3 - Sept 9'!G20+'Sept 10 - Sept 16'!G20+'Sept 17 - Sept 23'!G20)</f>
        <v/>
      </c>
      <c r="M20" s="73" t="n">
        <v>7480.48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>
        <f>C15*1.14</f>
        <v/>
      </c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(((F4-B20)-D4)/D4)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2750452.3435</v>
      </c>
      <c r="D4" s="3" t="n">
        <v>1932686.17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</f>
        <v/>
      </c>
      <c r="L4" s="89">
        <f>K4/SUM(G4+'Aug 27 - Sept 2'!G4+'Sept 3 - Sept 9'!G4+'Sept 10 - Sept 16'!G4+'Sept 17 - Sept 23'!G4+'Sept 24 - Sept 30'!G4)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</f>
        <v/>
      </c>
      <c r="L5" s="89">
        <f>K5/SUM(G5+'Aug 27 - Sept 2'!G5+'Sept 3 - Sept 9'!G5+'Sept 10 - Sept 16'!G5+'Sept 17 - Sept 23'!G5+'Sept 24 - Sept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326694.323</v>
      </c>
      <c r="D6" s="73" t="n">
        <v>267137.07</v>
      </c>
      <c r="E6" s="86">
        <f>IFERROR((SUM(F6-D6)/D6),0)</f>
        <v/>
      </c>
      <c r="F6" s="73" t="n">
        <v>264457.4</v>
      </c>
      <c r="G6" s="74" t="n">
        <v>1971</v>
      </c>
      <c r="H6" s="63">
        <f>IFERROR(B6/G6,0)</f>
        <v/>
      </c>
      <c r="I6" s="61" t="n">
        <v>142</v>
      </c>
      <c r="J6" s="28">
        <f>I6/G6</f>
        <v/>
      </c>
      <c r="K6" s="46">
        <f>I6+'Aug 27 - Sept 2'!I6+'Sept 3 - Sept 9'!I6+'Sept 10 - Sept 16'!I6+'Sept 17 - Sept 23'!I6+'Sept 24 - Sept 30'!I6</f>
        <v/>
      </c>
      <c r="L6" s="89">
        <f>K6/SUM(G6+'Aug 27 - Sept 2'!G6+'Sept 3 - Sept 9'!G6+'Sept 10 - Sept 16'!G6+'Sept 17 - Sept 23'!G6+'Sept 24 - Sept 30'!G6)</f>
        <v/>
      </c>
      <c r="M6" s="73" t="n">
        <v>8277.85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226348.52</v>
      </c>
      <c r="D7" s="73" t="n">
        <v>156197.63</v>
      </c>
      <c r="E7" s="86">
        <f>IFERROR((SUM(F7-D7)/D7),0)</f>
        <v/>
      </c>
      <c r="F7" s="73" t="n">
        <v>192361</v>
      </c>
      <c r="G7" s="74" t="n">
        <v>1490</v>
      </c>
      <c r="H7" s="63">
        <f>IFERROR(B7/G7,0)</f>
        <v/>
      </c>
      <c r="I7" s="61" t="n">
        <v>182</v>
      </c>
      <c r="J7" s="28">
        <f>I7/G7</f>
        <v/>
      </c>
      <c r="K7" s="46">
        <f>I7+'Aug 27 - Sept 2'!I7+'Sept 3 - Sept 9'!I7+'Sept 10 - Sept 16'!I7+'Sept 17 - Sept 23'!I7+'Sept 24 - Sept 30'!I7</f>
        <v/>
      </c>
      <c r="L7" s="89">
        <f>K7/SUM(G7+'Aug 27 - Sept 2'!G7+'Sept 3 - Sept 9'!G7+'Sept 10 - Sept 16'!G7+'Sept 17 - Sept 23'!G7+'Sept 24 - Sept 30'!G7)</f>
        <v/>
      </c>
      <c r="M7" s="73" t="n">
        <v>6563.15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130222.527</v>
      </c>
      <c r="D8" s="73" t="n">
        <v>98441.25999999999</v>
      </c>
      <c r="E8" s="86">
        <f>IFERROR((SUM(F8-D8)/D8),0)</f>
        <v/>
      </c>
      <c r="F8" s="73" t="n">
        <v>99034.45</v>
      </c>
      <c r="G8" s="74" t="n">
        <v>768</v>
      </c>
      <c r="H8" s="63">
        <f>IFERROR(B8/G8,0)</f>
        <v/>
      </c>
      <c r="I8" s="61" t="n">
        <v>73</v>
      </c>
      <c r="J8" s="28">
        <f>I8/G8</f>
        <v/>
      </c>
      <c r="K8" s="46">
        <f>I8+'Aug 27 - Sept 2'!I8+'Sept 3 - Sept 9'!I8+'Sept 10 - Sept 16'!I8+'Sept 17 - Sept 23'!I8+'Sept 24 - Sept 30'!I8</f>
        <v/>
      </c>
      <c r="L8" s="89">
        <f>K8/SUM(G8+'Aug 27 - Sept 2'!G8+'Sept 3 - Sept 9'!G8+'Sept 10 - Sept 16'!G8+'Sept 17 - Sept 23'!G8+'Sept 24 - Sept 30'!G8)</f>
        <v/>
      </c>
      <c r="M8" s="73" t="n">
        <v>6121.5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404283.7535</v>
      </c>
      <c r="D9" s="73" t="n">
        <v>318589.14</v>
      </c>
      <c r="E9" s="86">
        <f>IFERROR((SUM(F9-D9)/D9),0)</f>
        <v/>
      </c>
      <c r="F9" s="73" t="n">
        <v>341106.4</v>
      </c>
      <c r="G9" s="74" t="n">
        <v>2716</v>
      </c>
      <c r="H9" s="63">
        <f>IFERROR(B9/G9,0)</f>
        <v/>
      </c>
      <c r="I9" s="61" t="n">
        <v>154</v>
      </c>
      <c r="J9" s="28">
        <f>I9/G9</f>
        <v/>
      </c>
      <c r="K9" s="46">
        <f>I9+'Aug 27 - Sept 2'!I9+'Sept 3 - Sept 9'!I9+'Sept 10 - Sept 16'!I9+'Sept 17 - Sept 23'!I9+'Sept 24 - Sept 30'!I9</f>
        <v/>
      </c>
      <c r="L9" s="89">
        <f>K9/SUM(G9+'Aug 27 - Sept 2'!G9+'Sept 3 - Sept 9'!G9+'Sept 10 - Sept 16'!G9+'Sept 17 - Sept 23'!G9+'Sept 24 - Sept 30'!G9)</f>
        <v/>
      </c>
      <c r="M9" s="73" t="n">
        <v>9153.799999999999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</f>
        <v/>
      </c>
      <c r="L10" s="89">
        <f>K10/SUM(G10+'Aug 27 - Sept 2'!G10+'Sept 3 - Sept 9'!G10+'Sept 10 - Sept 16'!G10+'Sept 17 - Sept 23'!G10+'Sept 24 - Sept 30'!G10)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162458.2</v>
      </c>
      <c r="D11" s="73" t="n">
        <v>116675.57</v>
      </c>
      <c r="E11" s="86">
        <f>IFERROR((SUM(F11-D11)/D11),0)</f>
        <v/>
      </c>
      <c r="F11" s="73" t="n">
        <v>127538.2</v>
      </c>
      <c r="G11" s="74" t="n">
        <v>862</v>
      </c>
      <c r="H11" s="63">
        <f>IFERROR(B11/G11,0)</f>
        <v/>
      </c>
      <c r="I11" s="61" t="n">
        <v>61</v>
      </c>
      <c r="J11" s="28">
        <f>I11/G11</f>
        <v/>
      </c>
      <c r="K11" s="46">
        <f>I11+'Aug 27 - Sept 2'!I11+'Sept 3 - Sept 9'!I11+'Sept 10 - Sept 16'!I11+'Sept 17 - Sept 23'!I11+'Sept 24 - Sept 30'!I11</f>
        <v/>
      </c>
      <c r="L11" s="89">
        <f>K11/SUM(G11+'Aug 27 - Sept 2'!G11+'Sept 3 - Sept 9'!G11+'Sept 10 - Sept 16'!G11+'Sept 17 - Sept 23'!G11+'Sept 24 - Sept 30'!G11)</f>
        <v/>
      </c>
      <c r="M11" s="73" t="n">
        <v>5007.5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377915.53</v>
      </c>
      <c r="D12" s="73" t="n">
        <v>301916.12</v>
      </c>
      <c r="E12" s="86">
        <f>IFERROR((SUM(F12-D12)/D12),0)</f>
        <v/>
      </c>
      <c r="F12" s="73" t="n">
        <v>314738.1</v>
      </c>
      <c r="G12" s="74" t="n">
        <v>2132</v>
      </c>
      <c r="H12" s="63">
        <f>IFERROR(B12/G12,0)</f>
        <v/>
      </c>
      <c r="I12" s="61" t="n">
        <v>131</v>
      </c>
      <c r="J12" s="28">
        <f>I12/G12</f>
        <v/>
      </c>
      <c r="K12" s="46">
        <f>I12+'Aug 27 - Sept 2'!I12+'Sept 3 - Sept 9'!I12+'Sept 10 - Sept 16'!I12+'Sept 17 - Sept 23'!I12+'Sept 24 - Sept 30'!I12</f>
        <v/>
      </c>
      <c r="L12" s="89">
        <f>K12/SUM(G12+'Aug 27 - Sept 2'!G12+'Sept 3 - Sept 9'!G12+'Sept 10 - Sept 16'!G12+'Sept 17 - Sept 23'!G12+'Sept 24 - Sept 30'!G12)</f>
        <v/>
      </c>
      <c r="M12" s="73" t="n">
        <v>9703.450000000001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151287.56</v>
      </c>
      <c r="D13" s="73" t="n">
        <v>103319.24</v>
      </c>
      <c r="E13" s="86">
        <f>IFERROR((SUM(F13-D13)/D13),0)</f>
        <v/>
      </c>
      <c r="F13" s="73" t="n">
        <v>122013.7</v>
      </c>
      <c r="G13" s="74" t="n">
        <v>1068</v>
      </c>
      <c r="H13" s="63">
        <f>IFERROR(B13/G13,0)</f>
        <v/>
      </c>
      <c r="I13" s="61" t="n">
        <v>88</v>
      </c>
      <c r="J13" s="28">
        <f>I13/G13</f>
        <v/>
      </c>
      <c r="K13" s="46">
        <f>I13+'Aug 27 - Sept 2'!I13+'Sept 3 - Sept 9'!I13+'Sept 10 - Sept 16'!I13+'Sept 17 - Sept 23'!I13+'Sept 24 - Sept 30'!I13</f>
        <v/>
      </c>
      <c r="L13" s="89">
        <f>K13/SUM(G13+'Aug 27 - Sept 2'!G13+'Sept 3 - Sept 9'!G13+'Sept 10 - Sept 16'!G13+'Sept 17 - Sept 23'!G13+'Sept 24 - Sept 30'!G13)</f>
        <v/>
      </c>
      <c r="M13" s="73" t="n">
        <v>9829.549999999999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247739.555</v>
      </c>
      <c r="D14" s="73" t="n">
        <v>166104.99</v>
      </c>
      <c r="E14" s="86">
        <f>IFERROR((SUM(F14-D14)/D14),0)</f>
        <v/>
      </c>
      <c r="F14" s="73" t="n">
        <v>205792.4</v>
      </c>
      <c r="G14" s="74" t="n">
        <v>1600</v>
      </c>
      <c r="H14" s="63">
        <f>IFERROR(B14/G14,0)</f>
        <v/>
      </c>
      <c r="I14" s="61" t="n">
        <v>105</v>
      </c>
      <c r="J14" s="28">
        <f>I14/G14</f>
        <v/>
      </c>
      <c r="K14" s="46">
        <f>I14+'Aug 27 - Sept 2'!I14+'Sept 3 - Sept 9'!I14+'Sept 10 - Sept 16'!I14+'Sept 17 - Sept 23'!I14+'Sept 24 - Sept 30'!I14</f>
        <v/>
      </c>
      <c r="L14" s="89">
        <f>K14/SUM(G14+'Aug 27 - Sept 2'!G14+'Sept 3 - Sept 9'!G14+'Sept 10 - Sept 16'!G14+'Sept 17 - Sept 23'!G14+'Sept 24 - Sept 30'!G14)</f>
        <v/>
      </c>
      <c r="M14" s="73" t="n">
        <v>5296.18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92254.16149999999</v>
      </c>
      <c r="D15" s="73" t="n">
        <v>55646.7</v>
      </c>
      <c r="E15" s="86">
        <f>IFERROR((SUM(F15-D15)/D15),0)</f>
        <v/>
      </c>
      <c r="F15" s="73" t="n">
        <v>110538.8</v>
      </c>
      <c r="G15" s="74" t="n">
        <v>781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</f>
        <v/>
      </c>
      <c r="L15" s="89">
        <f>K15/SUM(G15+'Aug 27 - Sept 2'!G15+'Sept 3 - Sept 9'!G15+'Sept 10 - Sept 16'!G15+'Sept 17 - Sept 23'!G15+'Sept 24 - Sept 30'!G15)</f>
        <v/>
      </c>
      <c r="M15" s="73" t="n">
        <v>3368.5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</f>
        <v/>
      </c>
      <c r="L16" s="89">
        <f>K16/SUM(G16+'Aug 27 - Sept 2'!G16+'Sept 3 - Sept 9'!G16+'Sept 10 - Sept 16'!G16+'Sept 17 - Sept 23'!G16+'Sept 24 - Sept 30'!G16)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</f>
        <v/>
      </c>
      <c r="L17" s="89">
        <f>K17/SUM(G17+'Aug 27 - Sept 2'!G17+'Sept 3 - Sept 9'!G17+'Sept 10 - Sept 16'!G17+'Sept 17 - Sept 23'!G17+'Sept 24 - Sept 30'!G17)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223466.045</v>
      </c>
      <c r="D18" s="73" t="n">
        <v>208517.65</v>
      </c>
      <c r="E18" s="86">
        <f>IFERROR((SUM(F18-D18)/D18),0)</f>
        <v/>
      </c>
      <c r="F18" s="73" t="n">
        <v>247604.5</v>
      </c>
      <c r="G18" s="74" t="n">
        <v>2147</v>
      </c>
      <c r="H18" s="63">
        <f>IFERROR(B18/G18,0)</f>
        <v/>
      </c>
      <c r="I18" s="61" t="n">
        <v>23</v>
      </c>
      <c r="J18" s="28">
        <f>I18/G18</f>
        <v/>
      </c>
      <c r="K18" s="46">
        <f>I18+'Aug 27 - Sept 2'!I18+'Sept 3 - Sept 9'!I18+'Sept 10 - Sept 16'!I18+'Sept 17 - Sept 23'!I18+'Sept 24 - Sept 30'!I18</f>
        <v/>
      </c>
      <c r="L18" s="89">
        <f>K18/SUM(G18+'Aug 27 - Sept 2'!G18+'Sept 3 - Sept 9'!G18+'Sept 10 - Sept 16'!G18+'Sept 17 - Sept 23'!G18+'Sept 24 - Sept 30'!G18)</f>
        <v/>
      </c>
      <c r="M18" s="73" t="n">
        <v>5373.3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161381.455</v>
      </c>
      <c r="D19" s="73" t="n">
        <v>140140.8</v>
      </c>
      <c r="E19" s="86">
        <f>IFERROR((SUM(F19-D19)/D19),0)</f>
        <v/>
      </c>
      <c r="F19" s="73" t="n">
        <v>137044.5</v>
      </c>
      <c r="G19" s="74" t="n">
        <v>923</v>
      </c>
      <c r="H19" s="63">
        <f>IFERROR(B19/G19,0)</f>
        <v/>
      </c>
      <c r="I19" s="61" t="n">
        <v>70</v>
      </c>
      <c r="J19" s="28">
        <f>I19/G19</f>
        <v/>
      </c>
      <c r="K19" s="46">
        <f>I19+'Aug 27 - Sept 2'!I19+'Sept 3 - Sept 9'!I19+'Sept 10 - Sept 16'!I19+'Sept 17 - Sept 23'!I19+'Sept 24 - Sept 30'!I19</f>
        <v/>
      </c>
      <c r="L19" s="89">
        <f>K19/SUM(G19+'Aug 27 - Sept 2'!G19+'Sept 3 - Sept 9'!G19+'Sept 10 - Sept 16'!G19+'Sept 17 - Sept 23'!G19+'Sept 24 - Sept 30'!G19)</f>
        <v/>
      </c>
      <c r="M19" s="73" t="n">
        <v>4081.55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246400.7135</v>
      </c>
      <c r="D20" s="73" t="n">
        <v>0</v>
      </c>
      <c r="E20" s="86">
        <f>IFERROR((SUM(F20-D20)/D20),0)</f>
        <v/>
      </c>
      <c r="F20" s="73" t="n">
        <v>204294.8</v>
      </c>
      <c r="G20" s="74" t="n">
        <v>1347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</f>
        <v/>
      </c>
      <c r="L20" s="89">
        <f>K20/SUM(G20+'Aug 27 - Sept 2'!G20+'Sept 3 - Sept 9'!G20+'Sept 10 - Sept 16'!G20+'Sept 17 - Sept 23'!G20+'Sept 24 - Sept 30'!G20)</f>
        <v/>
      </c>
      <c r="M20" s="73" t="n">
        <v>7361.28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2721502.8875</v>
      </c>
      <c r="D4" s="3" t="n">
        <v>1780522.41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</f>
        <v/>
      </c>
      <c r="L4" s="89">
        <f>K4/SUM(G4+'Aug 27 - Sept 2'!G4+'Sept 3 - Sept 9'!G4+'Sept 10 - Sept 16'!G4+'Sept 17 - Sept 23'!G4+'Sept 24 - Sept 30'!G4+'Oct 1 - Oct 7'!G4)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</f>
        <v/>
      </c>
      <c r="L5" s="89">
        <f>K5/SUM(G5+'Aug 27 - Sept 2'!G5+'Sept 3 - Sept 9'!G5+'Sept 10 - Sept 16'!G5+'Sept 17 - Sept 23'!G5+'Sept 24 - Sept 30'!G5+'Oct 1 - Oct 7'!G5)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304126.01</v>
      </c>
      <c r="D6" s="73" t="n">
        <v>183776.7</v>
      </c>
      <c r="E6" s="86">
        <f>IFERROR((SUM(F6-D6)/D6),0)</f>
        <v/>
      </c>
      <c r="F6" s="73" t="n">
        <v>236866.46</v>
      </c>
      <c r="G6" s="74" t="n">
        <v>1651</v>
      </c>
      <c r="H6" s="63">
        <f>IFERROR(B6/G6,0)</f>
        <v/>
      </c>
      <c r="I6" s="61" t="n">
        <v>89</v>
      </c>
      <c r="J6" s="28">
        <f>I6/G6</f>
        <v/>
      </c>
      <c r="K6" s="46">
        <f>I6+'Aug 27 - Sept 2'!I6+'Sept 3 - Sept 9'!I6+'Sept 10 - Sept 16'!I6+'Sept 17 - Sept 23'!I6+'Sept 24 - Sept 30'!I6+'Oct 1 - Oct 7'!I6</f>
        <v/>
      </c>
      <c r="L6" s="89">
        <f>K6/SUM(G6+'Aug 27 - Sept 2'!G6+'Sept 3 - Sept 9'!G6+'Sept 10 - Sept 16'!G6+'Sept 17 - Sept 23'!G6+'Sept 24 - Sept 30'!G6+'Oct 1 - Oct 7'!G6)</f>
        <v/>
      </c>
      <c r="M6" s="73" t="n">
        <v>5675.8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221215.15</v>
      </c>
      <c r="D7" s="73" t="n">
        <v>147168.41</v>
      </c>
      <c r="E7" s="86">
        <f>IFERROR((SUM(F7-D7)/D7),0)</f>
        <v/>
      </c>
      <c r="F7" s="73" t="n">
        <v>144768.66</v>
      </c>
      <c r="G7" s="74" t="n">
        <v>1065</v>
      </c>
      <c r="H7" s="63">
        <f>IFERROR(B7/G7,0)</f>
        <v/>
      </c>
      <c r="I7" s="61" t="n">
        <v>168</v>
      </c>
      <c r="J7" s="28">
        <f>I7/G7</f>
        <v/>
      </c>
      <c r="K7" s="46">
        <f>I7+'Aug 27 - Sept 2'!I7+'Sept 3 - Sept 9'!I7+'Sept 10 - Sept 16'!I7+'Sept 17 - Sept 23'!I7+'Sept 24 - Sept 30'!I7+'Oct 1 - Oct 7'!I7</f>
        <v/>
      </c>
      <c r="L7" s="89">
        <f>K7/SUM(G7+'Aug 27 - Sept 2'!G7+'Sept 3 - Sept 9'!G7+'Sept 10 - Sept 16'!G7+'Sept 17 - Sept 23'!G7+'Sept 24 - Sept 30'!G7+'Oct 1 - Oct 7'!G7)</f>
        <v/>
      </c>
      <c r="M7" s="73" t="n">
        <v>5700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113889.6175</v>
      </c>
      <c r="D8" s="73" t="n">
        <v>107836</v>
      </c>
      <c r="E8" s="86">
        <f>IFERROR((SUM(F8-D8)/D8),0)</f>
        <v/>
      </c>
      <c r="F8" s="73" t="n">
        <v>93938.69</v>
      </c>
      <c r="G8" s="74" t="n">
        <v>651</v>
      </c>
      <c r="H8" s="63">
        <f>IFERROR(B8/G8,0)</f>
        <v/>
      </c>
      <c r="I8" s="61" t="n">
        <v>53</v>
      </c>
      <c r="J8" s="28">
        <f>I8/G8</f>
        <v/>
      </c>
      <c r="K8" s="46">
        <f>I8+'Aug 27 - Sept 2'!I8+'Sept 3 - Sept 9'!I8+'Sept 10 - Sept 16'!I8+'Sept 17 - Sept 23'!I8+'Sept 24 - Sept 30'!I8+'Oct 1 - Oct 7'!I8</f>
        <v/>
      </c>
      <c r="L8" s="89">
        <f>K8/SUM(G8+'Aug 27 - Sept 2'!G8+'Sept 3 - Sept 9'!G8+'Sept 10 - Sept 16'!G8+'Sept 17 - Sept 23'!G8+'Sept 24 - Sept 30'!G8+'Oct 1 - Oct 7'!G8)</f>
        <v/>
      </c>
      <c r="M8" s="73" t="n">
        <v>4352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392272.36</v>
      </c>
      <c r="D9" s="73" t="n">
        <v>332973.77</v>
      </c>
      <c r="E9" s="86">
        <f>IFERROR((SUM(F9-D9)/D9),0)</f>
        <v/>
      </c>
      <c r="F9" s="73" t="n">
        <v>294741.78</v>
      </c>
      <c r="G9" s="74" t="n">
        <v>2211</v>
      </c>
      <c r="H9" s="63">
        <f>IFERROR(B9/G9,0)</f>
        <v/>
      </c>
      <c r="I9" s="61" t="n">
        <v>146</v>
      </c>
      <c r="J9" s="28">
        <f>I9/G9</f>
        <v/>
      </c>
      <c r="K9" s="46">
        <f>I9+'Aug 27 - Sept 2'!I9+'Sept 3 - Sept 9'!I9+'Sept 10 - Sept 16'!I9+'Sept 17 - Sept 23'!I9+'Sept 24 - Sept 30'!I9+'Oct 1 - Oct 7'!I9</f>
        <v/>
      </c>
      <c r="L9" s="89">
        <f>K9/SUM(G9+'Aug 27 - Sept 2'!G9+'Sept 3 - Sept 9'!G9+'Sept 10 - Sept 16'!G9+'Sept 17 - Sept 23'!G9+'Sept 24 - Sept 30'!G9+'Oct 1 - Oct 7'!G9)</f>
        <v/>
      </c>
      <c r="M9" s="73" t="n">
        <v>8428.799999999999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</f>
        <v/>
      </c>
      <c r="L10" s="89">
        <f>K10/SUM(G10+'Aug 27 - Sept 2'!G10+'Sept 3 - Sept 9'!G10+'Sept 10 - Sept 16'!G10+'Sept 17 - Sept 23'!G10+'Sept 24 - Sept 30'!G10+'Oct 1 - Oct 7'!G10)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146668.93</v>
      </c>
      <c r="D11" s="73" t="n">
        <v>146403.07</v>
      </c>
      <c r="E11" s="86">
        <f>IFERROR((SUM(F11-D11)/D11),0)</f>
        <v/>
      </c>
      <c r="F11" s="73" t="n">
        <v>143479.23</v>
      </c>
      <c r="G11" s="74" t="n">
        <v>979</v>
      </c>
      <c r="H11" s="63">
        <f>IFERROR(B11/G11,0)</f>
        <v/>
      </c>
      <c r="I11" s="61" t="n">
        <v>56</v>
      </c>
      <c r="J11" s="28">
        <f>I11/G11</f>
        <v/>
      </c>
      <c r="K11" s="46">
        <f>I11+'Aug 27 - Sept 2'!I11+'Sept 3 - Sept 9'!I11+'Sept 10 - Sept 16'!I11+'Sept 17 - Sept 23'!I11+'Sept 24 - Sept 30'!I11+'Oct 1 - Oct 7'!I11</f>
        <v/>
      </c>
      <c r="L11" s="89">
        <f>K11/SUM(G11+'Aug 27 - Sept 2'!G11+'Sept 3 - Sept 9'!G11+'Sept 10 - Sept 16'!G11+'Sept 17 - Sept 23'!G11+'Sept 24 - Sept 30'!G11+'Oct 1 - Oct 7'!G11)</f>
        <v/>
      </c>
      <c r="M11" s="73" t="n">
        <v>4769.6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361948.8149999999</v>
      </c>
      <c r="D12" s="73" t="n">
        <v>308858.84</v>
      </c>
      <c r="E12" s="86">
        <f>IFERROR((SUM(F12-D12)/D12),0)</f>
        <v/>
      </c>
      <c r="F12" s="73" t="n">
        <v>320816.82</v>
      </c>
      <c r="G12" s="74" t="n">
        <v>2105</v>
      </c>
      <c r="H12" s="63">
        <f>IFERROR(B12/G12,0)</f>
        <v/>
      </c>
      <c r="I12" s="61" t="n">
        <v>113</v>
      </c>
      <c r="J12" s="28">
        <f>I12/G12</f>
        <v/>
      </c>
      <c r="K12" s="46">
        <f>I12+'Aug 27 - Sept 2'!I12+'Sept 3 - Sept 9'!I12+'Sept 10 - Sept 16'!I12+'Sept 17 - Sept 23'!I12+'Sept 24 - Sept 30'!I12+'Oct 1 - Oct 7'!I12</f>
        <v/>
      </c>
      <c r="L12" s="89">
        <f>K12/SUM(G12+'Aug 27 - Sept 2'!G12+'Sept 3 - Sept 9'!G12+'Sept 10 - Sept 16'!G12+'Sept 17 - Sept 23'!G12+'Sept 24 - Sept 30'!G12+'Oct 1 - Oct 7'!G12)</f>
        <v/>
      </c>
      <c r="M12" s="73" t="n">
        <v>9222.25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140315.755</v>
      </c>
      <c r="D13" s="73" t="n">
        <v>103558.72</v>
      </c>
      <c r="E13" s="86">
        <f>IFERROR((SUM(F13-D13)/D13),0)</f>
        <v/>
      </c>
      <c r="F13" s="73" t="n">
        <v>120710.17</v>
      </c>
      <c r="G13" s="74" t="n">
        <v>1032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</f>
        <v/>
      </c>
      <c r="L13" s="89">
        <f>K13/SUM(G13+'Aug 27 - Sept 2'!G13+'Sept 3 - Sept 9'!G13+'Sept 10 - Sept 16'!G13+'Sept 17 - Sept 23'!G13+'Sept 24 - Sept 30'!G13+'Oct 1 - Oct 7'!G13)</f>
        <v/>
      </c>
      <c r="M13" s="73" t="n">
        <v>9752.5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236661.26</v>
      </c>
      <c r="D14" s="73" t="n">
        <v>156513.94</v>
      </c>
      <c r="E14" s="86">
        <f>IFERROR((SUM(F14-D14)/D14),0)</f>
        <v/>
      </c>
      <c r="F14" s="73" t="n">
        <v>212472.33</v>
      </c>
      <c r="G14" s="74" t="n">
        <v>1699</v>
      </c>
      <c r="H14" s="63">
        <f>IFERROR(B14/G14,0)</f>
        <v/>
      </c>
      <c r="I14" s="61" t="n">
        <v>125</v>
      </c>
      <c r="J14" s="28">
        <f>I14/G14</f>
        <v/>
      </c>
      <c r="K14" s="46">
        <f>I14+'Aug 27 - Sept 2'!I14+'Sept 3 - Sept 9'!I14+'Sept 10 - Sept 16'!I14+'Sept 17 - Sept 23'!I14+'Sept 24 - Sept 30'!I14+'Oct 1 - Oct 7'!I14</f>
        <v/>
      </c>
      <c r="L14" s="89">
        <f>K14/SUM(G14+'Aug 27 - Sept 2'!G14+'Sept 3 - Sept 9'!G14+'Sept 10 - Sept 16'!G14+'Sept 17 - Sept 23'!G14+'Sept 24 - Sept 30'!G14+'Oct 1 - Oct 7'!G14)</f>
        <v/>
      </c>
      <c r="M14" s="73" t="n">
        <v>5177.47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127119.62</v>
      </c>
      <c r="D15" s="73" t="n">
        <v>50011.7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</f>
        <v/>
      </c>
      <c r="L15" s="89">
        <f>K15/SUM(G15+'Aug 27 - Sept 2'!G15+'Sept 3 - Sept 9'!G15+'Sept 10 - Sept 16'!G15+'Sept 17 - Sept 23'!G15+'Sept 24 - Sept 30'!G15+'Oct 1 - Oct 7'!G15)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</f>
        <v/>
      </c>
      <c r="L16" s="89">
        <f>K16/SUM(G16+'Aug 27 - Sept 2'!G16+'Sept 3 - Sept 9'!G16+'Sept 10 - Sept 16'!G16+'Sept 17 - Sept 23'!G16+'Sept 24 - Sept 30'!G16+'Oct 1 - Oct 7'!G16)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</f>
        <v/>
      </c>
      <c r="L17" s="89">
        <f>K17/SUM(G17+'Aug 27 - Sept 2'!G17+'Sept 3 - Sept 9'!G17+'Sept 10 - Sept 16'!G17+'Sept 17 - Sept 23'!G17+'Sept 24 - Sept 30'!G17+'Oct 1 - Oct 7'!G17)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284745.175</v>
      </c>
      <c r="D18" s="73" t="n">
        <v>124352.66</v>
      </c>
      <c r="E18" s="86">
        <f>IFERROR((SUM(F18-D18)/D18),0)</f>
        <v/>
      </c>
      <c r="F18" s="73" t="n">
        <v>146937.33</v>
      </c>
      <c r="G18" s="74" t="n">
        <v>1345</v>
      </c>
      <c r="H18" s="63">
        <f>IFERROR(B18/G18,0)</f>
        <v/>
      </c>
      <c r="I18" s="61" t="n">
        <v>87</v>
      </c>
      <c r="J18" s="28">
        <f>I18/G18</f>
        <v/>
      </c>
      <c r="K18" s="46">
        <f>I18+'Aug 27 - Sept 2'!I18+'Sept 3 - Sept 9'!I18+'Sept 10 - Sept 16'!I18+'Sept 17 - Sept 23'!I18+'Sept 24 - Sept 30'!I18+'Oct 1 - Oct 7'!I18</f>
        <v/>
      </c>
      <c r="L18" s="89">
        <f>K18/SUM(G18+'Aug 27 - Sept 2'!G18+'Sept 3 - Sept 9'!G18+'Sept 10 - Sept 16'!G18+'Sept 17 - Sept 23'!G18+'Sept 24 - Sept 30'!G18+'Oct 1 - Oct 7'!G18)</f>
        <v/>
      </c>
      <c r="M18" s="73" t="n">
        <v>3152.9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157601.175</v>
      </c>
      <c r="D19" s="73" t="n">
        <v>119068.6</v>
      </c>
      <c r="E19" s="86">
        <f>IFERROR((SUM(F19-D19)/D19),0)</f>
        <v/>
      </c>
      <c r="F19" s="73" t="n">
        <v>111304.3</v>
      </c>
      <c r="G19" s="74" t="n">
        <v>777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</f>
        <v/>
      </c>
      <c r="L19" s="89">
        <f>K19/SUM(G19+'Aug 27 - Sept 2'!G19+'Sept 3 - Sept 9'!G19+'Sept 10 - Sept 16'!G19+'Sept 17 - Sept 23'!G19+'Sept 24 - Sept 30'!G19+'Oct 1 - Oct 7'!G19)</f>
        <v/>
      </c>
      <c r="M19" s="73" t="n">
        <v>5061.9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234939.02</v>
      </c>
      <c r="D20" s="73" t="n">
        <v>0</v>
      </c>
      <c r="E20" s="86">
        <f>IFERROR((SUM(F20-D20)/D20),0)</f>
        <v/>
      </c>
      <c r="F20" s="73" t="n">
        <v>190925.5</v>
      </c>
      <c r="G20" s="74" t="n">
        <v>1262</v>
      </c>
      <c r="H20" s="63">
        <f>IFERROR(B20/G20,0)</f>
        <v/>
      </c>
      <c r="I20" s="74" t="n">
        <v>118</v>
      </c>
      <c r="J20" s="28">
        <f>I20/G20</f>
        <v/>
      </c>
      <c r="K20" s="46">
        <f>I20+'Aug 27 - Sept 2'!I20+'Sept 3 - Sept 9'!I20+'Sept 10 - Sept 16'!I20+'Sept 17 - Sept 23'!I20+'Sept 24 - Sept 30'!I20+'Oct 1 - Oct 7'!I20</f>
        <v/>
      </c>
      <c r="L20" s="89">
        <f>K20/SUM(G20+'Aug 27 - Sept 2'!G20+'Sept 3 - Sept 9'!G20+'Sept 10 - Sept 16'!G20+'Sept 17 - Sept 23'!G20+'Sept 24 - Sept 30'!G20+'Oct 1 - Oct 7'!G20)</f>
        <v/>
      </c>
      <c r="M20" s="73" t="n">
        <v>8095.6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2319505.4605</v>
      </c>
      <c r="D4" s="3" t="n">
        <v>1677359.3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</f>
        <v/>
      </c>
      <c r="L4" s="89">
        <f>K4/SUM(G4+'Aug 27 - Sept 2'!G4+'Sept 3 - Sept 9'!G4+'Sept 10 - Sept 16'!G4+'Sept 17 - Sept 23'!G4+'Sept 24 - Sept 30'!G4+'Oct 1 - Oct 7'!G4+'Oct 8 - Oct 14'!G4)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72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</f>
        <v/>
      </c>
      <c r="L5" s="89">
        <f>K5/SUM(G5+'Aug 27 - Sept 2'!G5+'Sept 3 - Sept 9'!G5+'Sept 10 - Sept 16'!G5+'Sept 17 - Sept 23'!G5+'Sept 24 - Sept 30'!G5+'Oct 1 - Oct 7'!G5+'Oct 8 - Oct 14'!G5)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272396.4289999999</v>
      </c>
      <c r="D6" s="73" t="n">
        <v>167995.56</v>
      </c>
      <c r="E6" s="86">
        <f>IFERROR((SUM(F6-D6)/D6),0)</f>
        <v/>
      </c>
      <c r="F6" s="73" t="n">
        <v>231844.3</v>
      </c>
      <c r="G6" s="74" t="n">
        <v>1582</v>
      </c>
      <c r="H6" s="63">
        <f>IFERROR(B6/G6,0)</f>
        <v/>
      </c>
      <c r="I6" s="61" t="n">
        <v>108</v>
      </c>
      <c r="J6" s="28">
        <f>I6/G6</f>
        <v/>
      </c>
      <c r="K6" s="46">
        <f>I6+'Aug 27 - Sept 2'!I6+'Sept 3 - Sept 9'!I6+'Sept 10 - Sept 16'!I6+'Sept 17 - Sept 23'!I6+'Sept 24 - Sept 30'!I6+'Oct 1 - Oct 7'!I6+'Oct 8 - Oct 14'!I6</f>
        <v/>
      </c>
      <c r="L6" s="89">
        <f>K6/SUM(G6+'Aug 27 - Sept 2'!G6+'Sept 3 - Sept 9'!G6+'Sept 10 - Sept 16'!G6+'Sept 17 - Sept 23'!G6+'Sept 24 - Sept 30'!G6+'Oct 1 - Oct 7'!G6+'Oct 8 - Oct 14'!G6)</f>
        <v/>
      </c>
      <c r="M6" s="73" t="n">
        <v>6992.7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166483.959</v>
      </c>
      <c r="D7" s="73" t="n">
        <v>143043.3</v>
      </c>
      <c r="E7" s="86">
        <f>IFERROR((SUM(F7-D7)/D7),0)</f>
        <v/>
      </c>
      <c r="F7" s="73" t="n">
        <v>0</v>
      </c>
      <c r="G7" s="74" t="n">
        <v>0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</f>
        <v/>
      </c>
      <c r="L7" s="89">
        <f>K7/SUM(G7+'Aug 27 - Sept 2'!G7+'Sept 3 - Sept 9'!G7+'Sept 10 - Sept 16'!G7+'Sept 17 - Sept 23'!G7+'Sept 24 - Sept 30'!G7+'Oct 1 - Oct 7'!G7+'Oct 8 - Oct 14'!G7)</f>
        <v/>
      </c>
      <c r="M7" s="73" t="n">
        <v>0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108029.4935</v>
      </c>
      <c r="D8" s="73" t="n">
        <v>89631.36</v>
      </c>
      <c r="E8" s="86">
        <f>IFERROR((SUM(F8-D8)/D8),0)</f>
        <v/>
      </c>
      <c r="F8" s="73" t="n">
        <v>80789.17</v>
      </c>
      <c r="G8" s="74" t="n">
        <v>610</v>
      </c>
      <c r="H8" s="63">
        <f>IFERROR(B8/G8,0)</f>
        <v/>
      </c>
      <c r="I8" s="61" t="n">
        <v>45</v>
      </c>
      <c r="J8" s="28">
        <f>I8/G8</f>
        <v/>
      </c>
      <c r="K8" s="46">
        <f>I8+'Aug 27 - Sept 2'!I8+'Sept 3 - Sept 9'!I8+'Sept 10 - Sept 16'!I8+'Sept 17 - Sept 23'!I8+'Sept 24 - Sept 30'!I8+'Oct 1 - Oct 7'!I8+'Oct 8 - Oct 14'!I8</f>
        <v/>
      </c>
      <c r="L8" s="89">
        <f>K8/SUM(G8+'Aug 27 - Sept 2'!G8+'Sept 3 - Sept 9'!G8+'Sept 10 - Sept 16'!G8+'Sept 17 - Sept 23'!G8+'Sept 24 - Sept 30'!G8+'Oct 1 - Oct 7'!G8+'Oct 8 - Oct 14'!G8)</f>
        <v/>
      </c>
      <c r="M8" s="73" t="n">
        <v>4859.5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338953.047</v>
      </c>
      <c r="D9" s="73" t="n">
        <v>287904.2</v>
      </c>
      <c r="E9" s="86">
        <f>IFERROR((SUM(F9-D9)/D9),0)</f>
        <v/>
      </c>
      <c r="F9" s="73" t="n">
        <v>377913.2</v>
      </c>
      <c r="G9" s="74" t="n">
        <v>2723</v>
      </c>
      <c r="H9" s="63">
        <f>IFERROR(B9/G9,0)</f>
        <v/>
      </c>
      <c r="I9" s="61" t="n">
        <v>161</v>
      </c>
      <c r="J9" s="28">
        <f>I9/G9</f>
        <v/>
      </c>
      <c r="K9" s="46">
        <f>I9+'Aug 27 - Sept 2'!I9+'Sept 3 - Sept 9'!I9+'Sept 10 - Sept 16'!I9+'Sept 17 - Sept 23'!I9+'Sept 24 - Sept 30'!I9+'Oct 1 - Oct 7'!I9+'Oct 8 - Oct 14'!I9</f>
        <v/>
      </c>
      <c r="L9" s="89">
        <f>K9/SUM(G9+'Aug 27 - Sept 2'!G9+'Sept 3 - Sept 9'!G9+'Sept 10 - Sept 16'!G9+'Sept 17 - Sept 23'!G9+'Sept 24 - Sept 30'!G9+'Oct 1 - Oct 7'!G9+'Oct 8 - Oct 14'!G9)</f>
        <v/>
      </c>
      <c r="M9" s="73" t="n">
        <v>12476.9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</f>
        <v/>
      </c>
      <c r="L10" s="89">
        <f>K10/SUM(G10+'Aug 27 - Sept 2'!G10+'Sept 3 - Sept 9'!G10+'Sept 10 - Sept 16'!G10+'Sept 17 - Sept 23'!G10+'Sept 24 - Sept 30'!G10+'Oct 1 - Oct 7'!G10+'Oct 8 - Oct 14'!G10)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165001.1145</v>
      </c>
      <c r="D11" s="73" t="n">
        <v>113690.75</v>
      </c>
      <c r="E11" s="86">
        <f>IFERROR((SUM(F11-D11)/D11),0)</f>
        <v/>
      </c>
      <c r="F11" s="73" t="n">
        <v>129317.7</v>
      </c>
      <c r="G11" s="74" t="n">
        <v>890</v>
      </c>
      <c r="H11" s="63">
        <f>IFERROR(B11/G11,0)</f>
        <v/>
      </c>
      <c r="I11" s="61" t="n">
        <v>51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</f>
        <v/>
      </c>
      <c r="L11" s="89">
        <f>K11/SUM(G11+'Aug 27 - Sept 2'!G11+'Sept 3 - Sept 9'!G11+'Sept 10 - Sept 16'!G11+'Sept 17 - Sept 23'!G11+'Sept 24 - Sept 30'!G11+'Oct 1 - Oct 7'!G11+'Oct 8 - Oct 14'!G11)</f>
        <v/>
      </c>
      <c r="M11" s="73" t="n">
        <v>4110.5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368939.343</v>
      </c>
      <c r="D12" s="73" t="n">
        <v>275690.6</v>
      </c>
      <c r="E12" s="86">
        <f>IFERROR((SUM(F12-D12)/D12),0)</f>
        <v/>
      </c>
      <c r="F12" s="73" t="n">
        <v>314124.4</v>
      </c>
      <c r="G12" s="74" t="n">
        <v>2269</v>
      </c>
      <c r="H12" s="63">
        <f>IFERROR(B12/G12,0)</f>
        <v/>
      </c>
      <c r="I12" s="61" t="n">
        <v>111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</f>
        <v/>
      </c>
      <c r="L12" s="89">
        <f>K12/SUM(G12+'Aug 27 - Sept 2'!G12+'Sept 3 - Sept 9'!G12+'Sept 10 - Sept 16'!G12+'Sept 17 - Sept 23'!G12+'Sept 24 - Sept 30'!G12+'Oct 1 - Oct 7'!G12+'Oct 8 - Oct 14'!G12)</f>
        <v/>
      </c>
      <c r="M12" s="73" t="n">
        <v>12343.45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138816.6955</v>
      </c>
      <c r="D13" s="73" t="n">
        <v>116467.8</v>
      </c>
      <c r="E13" s="86">
        <f>IFERROR((SUM(F13-D13)/D13),0)</f>
        <v/>
      </c>
      <c r="F13" s="73" t="n">
        <v>122918.1</v>
      </c>
      <c r="G13" s="74" t="n">
        <v>1011</v>
      </c>
      <c r="H13" s="63">
        <f>IFERROR(B13/G13,0)</f>
        <v/>
      </c>
      <c r="I13" s="61" t="n">
        <v>61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</f>
        <v/>
      </c>
      <c r="L13" s="89">
        <f>K13/SUM(G13+'Aug 27 - Sept 2'!G13+'Sept 3 - Sept 9'!G13+'Sept 10 - Sept 16'!G13+'Sept 17 - Sept 23'!G13+'Sept 24 - Sept 30'!G13+'Oct 1 - Oct 7'!G13+'Oct 8 - Oct 14'!G13)</f>
        <v/>
      </c>
      <c r="M13" s="73" t="n">
        <v>13798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244343.1795</v>
      </c>
      <c r="D14" s="73" t="n">
        <v>164374.38</v>
      </c>
      <c r="E14" s="86">
        <f>IFERROR((SUM(F14-D14)/D14),0)</f>
        <v/>
      </c>
      <c r="F14" s="73" t="n">
        <v>200137</v>
      </c>
      <c r="G14" s="74" t="n">
        <v>1700</v>
      </c>
      <c r="H14" s="63">
        <f>IFERROR(B14/G14,0)</f>
        <v/>
      </c>
      <c r="I14" s="61" t="n">
        <v>101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</f>
        <v/>
      </c>
      <c r="L14" s="89">
        <f>K14/SUM(G14+'Aug 27 - Sept 2'!G14+'Sept 3 - Sept 9'!G14+'Sept 10 - Sept 16'!G14+'Sept 17 - Sept 23'!G14+'Sept 24 - Sept 30'!G14+'Oct 1 - Oct 7'!G14+'Oct 8 - Oct 14'!G14)</f>
        <v/>
      </c>
      <c r="M14" s="73" t="n">
        <v>5548.2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57855.83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</f>
        <v/>
      </c>
      <c r="L15" s="89">
        <f>K15/SUM(G15+'Aug 27 - Sept 2'!G15+'Sept 3 - Sept 9'!G15+'Sept 10 - Sept 16'!G15+'Sept 17 - Sept 23'!G15+'Sept 24 - Sept 30'!G15+'Oct 1 - Oct 7'!G15+'Oct 8 - Oct 14'!G15)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73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</f>
        <v/>
      </c>
      <c r="L16" s="89">
        <f>K16/SUM(G16+'Aug 27 - Sept 2'!G16+'Sept 3 - Sept 9'!G16+'Sept 10 - Sept 16'!G16+'Sept 17 - Sept 23'!G16+'Sept 24 - Sept 30'!G16+'Oct 1 - Oct 7'!G16+'Oct 8 - Oct 14'!G16)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73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</f>
        <v/>
      </c>
      <c r="L17" s="89">
        <f>K17/SUM(G17+'Aug 27 - Sept 2'!G17+'Sept 3 - Sept 9'!G17+'Sept 10 - Sept 16'!G17+'Sept 17 - Sept 23'!G17+'Sept 24 - Sept 30'!G17+'Oct 1 - Oct 7'!G17+'Oct 8 - Oct 14'!G17)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168977.9295</v>
      </c>
      <c r="D18" s="73" t="n">
        <v>130157.34</v>
      </c>
      <c r="E18" s="86">
        <f>IFERROR((SUM(F18-D18)/D18),0)</f>
        <v/>
      </c>
      <c r="F18" s="73" t="n">
        <v>137169.71</v>
      </c>
      <c r="G18" s="74" t="n">
        <v>1183</v>
      </c>
      <c r="H18" s="63">
        <f>IFERROR(B18/G18,0)</f>
        <v/>
      </c>
      <c r="I18" s="61" t="n">
        <v>101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</f>
        <v/>
      </c>
      <c r="L18" s="89">
        <f>K18/SUM(G18+'Aug 27 - Sept 2'!G18+'Sept 3 - Sept 9'!G18+'Sept 10 - Sept 16'!G18+'Sept 17 - Sept 23'!G18+'Sept 24 - Sept 30'!G18+'Oct 1 - Oct 7'!G18+'Oct 8 - Oct 14'!G18)</f>
        <v/>
      </c>
      <c r="M18" s="73" t="n">
        <v>4833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127999.945</v>
      </c>
      <c r="D19" s="73" t="n">
        <v>130548.18</v>
      </c>
      <c r="E19" s="86">
        <f>IFERROR((SUM(F19-D19)/D19),0)</f>
        <v/>
      </c>
      <c r="F19" s="73" t="n">
        <v>110320.9</v>
      </c>
      <c r="G19" s="74" t="n">
        <v>765</v>
      </c>
      <c r="H19" s="63">
        <f>IFERROR(B19/G19,0)</f>
        <v/>
      </c>
      <c r="I19" s="61" t="n">
        <v>61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</f>
        <v/>
      </c>
      <c r="L19" s="89">
        <f>K19/SUM(G19+'Aug 27 - Sept 2'!G19+'Sept 3 - Sept 9'!G19+'Sept 10 - Sept 16'!G19+'Sept 17 - Sept 23'!G19+'Sept 24 - Sept 30'!G19+'Oct 1 - Oct 7'!G19+'Oct 8 - Oct 14'!G19)</f>
        <v/>
      </c>
      <c r="M19" s="73" t="n">
        <v>4471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219564.325</v>
      </c>
      <c r="D20" s="73" t="n">
        <v>0</v>
      </c>
      <c r="E20" s="86">
        <f>IFERROR((SUM(F20-D20)/D20),0)</f>
        <v/>
      </c>
      <c r="F20" s="73" t="n">
        <v>204905.5</v>
      </c>
      <c r="G20" s="74" t="n">
        <v>1579</v>
      </c>
      <c r="H20" s="63">
        <f>IFERROR(B20/G20,0)</f>
        <v/>
      </c>
      <c r="I20" s="74" t="n">
        <v>95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</f>
        <v/>
      </c>
      <c r="L20" s="89">
        <f>K20/SUM(G20+'Aug 27 - Sept 2'!G20+'Sept 3 - Sept 9'!G20+'Sept 10 - Sept 16'!G20+'Sept 17 - Sept 23'!G20+'Sept 24 - Sept 30'!G20+'Oct 1 - Oct 7'!G20+'Oct 8 - Oct 14'!G20)</f>
        <v/>
      </c>
      <c r="M20" s="73" t="n">
        <v>10699.15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2195855.977</v>
      </c>
      <c r="D4" s="66">
        <f>SUM(D6:D19)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</f>
        <v/>
      </c>
      <c r="L4" s="89">
        <f>K4/SUM(G4+'Aug 27 - Sept 2'!G4+'Sept 3 - Sept 9'!G4+'Sept 10 - Sept 16'!G4+'Sept 17 - Sept 23'!G4+'Sept 24 - Sept 30'!G4+'Oct 1 - Oct 7'!G4+'Oct 8 - Oct 14'!G4+'Oct 15 - Oct 21'!G4)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</f>
        <v/>
      </c>
      <c r="L5" s="89">
        <f>K5/SUM(G5+'Aug 27 - Sept 2'!G5+'Sept 3 - Sept 9'!G5+'Sept 10 - Sept 16'!G5+'Sept 17 - Sept 23'!G5+'Sept 24 - Sept 30'!G5+'Oct 1 - Oct 7'!G5+'Oct 8 - Oct 14'!G5+'Oct 15 - Oct 21'!G5)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266620.9449999999</v>
      </c>
      <c r="D6" s="73" t="n">
        <v>206852.71</v>
      </c>
      <c r="E6" s="86">
        <f>IFERROR((SUM(F6-D6)/D6),0)</f>
        <v/>
      </c>
      <c r="F6" s="73" t="n">
        <v>232688.85</v>
      </c>
      <c r="G6" s="74" t="n">
        <v>1623</v>
      </c>
      <c r="H6" s="63">
        <f>IFERROR(B6/G6,0)</f>
        <v/>
      </c>
      <c r="I6" s="61" t="n">
        <v>101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</f>
        <v/>
      </c>
      <c r="L6" s="89">
        <f>K6/SUM(G6+'Aug 27 - Sept 2'!G6+'Sept 3 - Sept 9'!G6+'Sept 10 - Sept 16'!G6+'Sept 17 - Sept 23'!G6+'Sept 24 - Sept 30'!G6+'Oct 1 - Oct 7'!G6+'Oct 8 - Oct 14'!G6+'Oct 15 - Oct 21'!G6)</f>
        <v/>
      </c>
      <c r="M6" s="73" t="n">
        <v>7435.4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0</v>
      </c>
      <c r="D7" s="73" t="n">
        <v>180079.74</v>
      </c>
      <c r="E7" s="86">
        <f>IFERROR((SUM(F7-D7)/D7),0)</f>
        <v/>
      </c>
      <c r="F7" s="73" t="n">
        <v>53942.16</v>
      </c>
      <c r="G7" s="74" t="n">
        <v>424</v>
      </c>
      <c r="H7" s="63">
        <f>IFERROR(B7/G7,0)</f>
        <v/>
      </c>
      <c r="I7" s="61" t="n">
        <v>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</f>
        <v/>
      </c>
      <c r="L7" s="89">
        <f>K7/SUM(G7+'Aug 27 - Sept 2'!G7+'Sept 3 - Sept 9'!G7+'Sept 10 - Sept 16'!G7+'Sept 17 - Sept 23'!G7+'Sept 24 - Sept 30'!G7+'Oct 1 - Oct 7'!G7+'Oct 8 - Oct 14'!G7+'Oct 15 - Oct 21'!G7)</f>
        <v/>
      </c>
      <c r="M7" s="73" t="n">
        <v>2841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92907.54549999999</v>
      </c>
      <c r="D8" s="73" t="n">
        <v>97166.75999999999</v>
      </c>
      <c r="E8" s="86">
        <f>IFERROR((SUM(F8-D8)/D8),0)</f>
        <v/>
      </c>
      <c r="F8" s="73" t="n">
        <v>112191.76</v>
      </c>
      <c r="G8" s="74" t="n">
        <v>794</v>
      </c>
      <c r="H8" s="63">
        <f>IFERROR(B8/G8,0)</f>
        <v/>
      </c>
      <c r="I8" s="61" t="n">
        <v>31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</f>
        <v/>
      </c>
      <c r="L8" s="89">
        <f>K8/SUM(G8+'Aug 27 - Sept 2'!G8+'Sept 3 - Sept 9'!G8+'Sept 10 - Sept 16'!G8+'Sept 17 - Sept 23'!G8+'Sept 24 - Sept 30'!G8+'Oct 1 - Oct 7'!G8+'Oct 8 - Oct 14'!G8+'Oct 15 - Oct 21'!G8)</f>
        <v/>
      </c>
      <c r="M8" s="73" t="n">
        <v>3301.4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434600.18</v>
      </c>
      <c r="D9" s="73" t="n">
        <v>343316.43</v>
      </c>
      <c r="E9" s="86">
        <f>IFERROR((SUM(F9-D9)/D9),0)</f>
        <v/>
      </c>
      <c r="F9" s="73" t="n">
        <v>362627.37</v>
      </c>
      <c r="G9" s="74" t="n">
        <v>2482</v>
      </c>
      <c r="H9" s="63">
        <f>IFERROR(B9/G9,0)</f>
        <v/>
      </c>
      <c r="I9" s="61" t="n">
        <v>107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</f>
        <v/>
      </c>
      <c r="L9" s="89">
        <f>K9/SUM(G9+'Aug 27 - Sept 2'!G9+'Sept 3 - Sept 9'!G9+'Sept 10 - Sept 16'!G9+'Sept 17 - Sept 23'!G9+'Sept 24 - Sept 30'!G9+'Oct 1 - Oct 7'!G9+'Oct 8 - Oct 14'!G9+'Oct 15 - Oct 21'!G9)</f>
        <v/>
      </c>
      <c r="M9" s="73" t="n">
        <v>13939.8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</f>
        <v/>
      </c>
      <c r="L10" s="89">
        <f>K10/SUM(G10+'Aug 27 - Sept 2'!G10+'Sept 3 - Sept 9'!G10+'Sept 10 - Sept 16'!G10+'Sept 17 - Sept 23'!G10+'Sept 24 - Sept 30'!G10+'Oct 1 - Oct 7'!G10+'Oct 8 - Oct 14'!G10+'Oct 15 - Oct 21'!G10)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148715.355</v>
      </c>
      <c r="D11" s="73" t="n">
        <v>157623.12</v>
      </c>
      <c r="E11" s="86">
        <f>IFERROR((SUM(F11-D11)/D11),0)</f>
        <v/>
      </c>
      <c r="F11" s="73" t="n">
        <v>139413.9</v>
      </c>
      <c r="G11" s="74" t="n">
        <v>950</v>
      </c>
      <c r="H11" s="63">
        <f>IFERROR(B11/G11,0)</f>
        <v/>
      </c>
      <c r="I11" s="61" t="n">
        <v>38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</f>
        <v/>
      </c>
      <c r="L11" s="89">
        <f>K11/SUM(G11+'Aug 27 - Sept 2'!G11+'Sept 3 - Sept 9'!G11+'Sept 10 - Sept 16'!G11+'Sept 17 - Sept 23'!G11+'Sept 24 - Sept 30'!G11+'Oct 1 - Oct 7'!G11+'Oct 8 - Oct 14'!G11+'Oct 15 - Oct 21'!G11)</f>
        <v/>
      </c>
      <c r="M11" s="73" t="n">
        <v>4957.2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361243.06</v>
      </c>
      <c r="D12" s="73" t="n">
        <v>307699.22</v>
      </c>
      <c r="E12" s="86">
        <f>IFERROR((SUM(F12-D12)/D12),0)</f>
        <v/>
      </c>
      <c r="F12" s="73" t="n">
        <v>304811.66</v>
      </c>
      <c r="G12" s="74" t="n">
        <v>2156</v>
      </c>
      <c r="H12" s="63">
        <f>IFERROR(B12/G12,0)</f>
        <v/>
      </c>
      <c r="I12" s="61" t="n">
        <v>114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</f>
        <v/>
      </c>
      <c r="L12" s="89">
        <f>K12/SUM(G12+'Aug 27 - Sept 2'!G12+'Sept 3 - Sept 9'!G12+'Sept 10 - Sept 16'!G12+'Sept 17 - Sept 23'!G12+'Sept 24 - Sept 30'!G12+'Oct 1 - Oct 7'!G12+'Oct 8 - Oct 14'!G12+'Oct 15 - Oct 21'!G12)</f>
        <v/>
      </c>
      <c r="M12" s="73" t="n">
        <v>10813.85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141355.815</v>
      </c>
      <c r="D13" s="73" t="n">
        <v>131664.33</v>
      </c>
      <c r="E13" s="86">
        <f>IFERROR((SUM(F13-D13)/D13),0)</f>
        <v/>
      </c>
      <c r="F13" s="73" t="n">
        <v>125171.07</v>
      </c>
      <c r="G13" s="74" t="n">
        <v>1059</v>
      </c>
      <c r="H13" s="63">
        <f>IFERROR(B13/G13,0)</f>
        <v/>
      </c>
      <c r="I13" s="61" t="n">
        <v>65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</f>
        <v/>
      </c>
      <c r="L13" s="89">
        <f>K13/SUM(G13+'Aug 27 - Sept 2'!G13+'Sept 3 - Sept 9'!G13+'Sept 10 - Sept 16'!G13+'Sept 17 - Sept 23'!G13+'Sept 24 - Sept 30'!G13+'Oct 1 - Oct 7'!G13+'Oct 8 - Oct 14'!G13+'Oct 15 - Oct 21'!G13)</f>
        <v/>
      </c>
      <c r="M13" s="73" t="n">
        <v>6599.5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230157.55</v>
      </c>
      <c r="D14" s="73" t="n">
        <v>163399.93</v>
      </c>
      <c r="E14" s="86">
        <f>IFERROR((SUM(F14-D14)/D14),0)</f>
        <v/>
      </c>
      <c r="F14" s="73" t="n">
        <v>228423.59</v>
      </c>
      <c r="G14" s="74" t="n">
        <v>1603</v>
      </c>
      <c r="H14" s="63">
        <f>IFERROR(B14/G14,0)</f>
        <v/>
      </c>
      <c r="I14" s="61" t="n">
        <v>98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</f>
        <v/>
      </c>
      <c r="L14" s="89">
        <f>K14/SUM(G14+'Aug 27 - Sept 2'!G14+'Sept 3 - Sept 9'!G14+'Sept 10 - Sept 16'!G14+'Sept 17 - Sept 23'!G14+'Sept 24 - Sept 30'!G14+'Oct 1 - Oct 7'!G14+'Oct 8 - Oct 14'!G14+'Oct 15 - Oct 21'!G14)</f>
        <v/>
      </c>
      <c r="M14" s="73" t="n">
        <v>6233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70398.48</v>
      </c>
      <c r="E15" s="86">
        <f>IFERROR((SUM(F15-D15)/D15),0)</f>
        <v/>
      </c>
      <c r="F15" s="73" t="n">
        <v>91370</v>
      </c>
      <c r="G15" s="74" t="n">
        <v>710</v>
      </c>
      <c r="H15" s="63">
        <f>IFERROR(B15/G15,0)</f>
        <v/>
      </c>
      <c r="I15" s="61" t="n">
        <v>0</v>
      </c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</f>
        <v/>
      </c>
      <c r="L15" s="89">
        <f>K15/SUM(G15+'Aug 27 - Sept 2'!G15+'Sept 3 - Sept 9'!G15+'Sept 10 - Sept 16'!G15+'Sept 17 - Sept 23'!G15+'Sept 24 - Sept 30'!G15+'Oct 1 - Oct 7'!G15+'Oct 8 - Oct 14'!G15+'Oct 15 - Oct 21'!G15)</f>
        <v/>
      </c>
      <c r="M15" s="73" t="n">
        <v>2789.25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</f>
        <v/>
      </c>
      <c r="L16" s="89">
        <f>K16/SUM(G16+'Aug 27 - Sept 2'!G16+'Sept 3 - Sept 9'!G16+'Sept 10 - Sept 16'!G16+'Sept 17 - Sept 23'!G16+'Sept 24 - Sept 30'!G16+'Oct 1 - Oct 7'!G16+'Oct 8 - Oct 14'!G16+'Oct 15 - Oct 21'!G16)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</f>
        <v/>
      </c>
      <c r="L17" s="89">
        <f>K17/SUM(G17+'Aug 27 - Sept 2'!G17+'Sept 3 - Sept 9'!G17+'Sept 10 - Sept 16'!G17+'Sept 17 - Sept 23'!G17+'Sept 24 - Sept 30'!G17+'Oct 1 - Oct 7'!G17+'Oct 8 - Oct 14'!G17+'Oct 15 - Oct 21'!G17)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157745.1665</v>
      </c>
      <c r="D18" s="73" t="n">
        <v>135240.21</v>
      </c>
      <c r="E18" s="86">
        <f>IFERROR((SUM(F18-D18)/D18),0)</f>
        <v/>
      </c>
      <c r="F18" s="73" t="n">
        <v>158104.99</v>
      </c>
      <c r="G18" s="74" t="n">
        <v>1512</v>
      </c>
      <c r="H18" s="63">
        <f>IFERROR(B18/G18,0)</f>
        <v/>
      </c>
      <c r="I18" s="61" t="n">
        <v>104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</f>
        <v/>
      </c>
      <c r="L18" s="89">
        <f>K18/SUM(G18+'Aug 27 - Sept 2'!G18+'Sept 3 - Sept 9'!G18+'Sept 10 - Sept 16'!G18+'Sept 17 - Sept 23'!G18+'Sept 24 - Sept 30'!G18+'Oct 1 - Oct 7'!G18+'Oct 8 - Oct 14'!G18+'Oct 15 - Oct 21'!G18)</f>
        <v/>
      </c>
      <c r="M18" s="73" t="n">
        <v>3632.25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126869.035</v>
      </c>
      <c r="D19" s="73" t="n">
        <v>126076.62</v>
      </c>
      <c r="E19" s="86">
        <f>IFERROR((SUM(F19-D19)/D19),0)</f>
        <v/>
      </c>
      <c r="F19" s="73" t="n">
        <v>115349.58</v>
      </c>
      <c r="G19" s="74" t="n">
        <v>1281</v>
      </c>
      <c r="H19" s="63">
        <f>IFERROR(B19/G19,0)</f>
        <v/>
      </c>
      <c r="I19" s="61" t="n">
        <v>91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</f>
        <v/>
      </c>
      <c r="L19" s="89">
        <f>K19/SUM(G19+'Aug 27 - Sept 2'!G19+'Sept 3 - Sept 9'!G19+'Sept 10 - Sept 16'!G19+'Sept 17 - Sept 23'!G19+'Sept 24 - Sept 30'!G19+'Oct 1 - Oct 7'!G19+'Oct 8 - Oct 14'!G19+'Oct 15 - Oct 21'!G19)</f>
        <v/>
      </c>
      <c r="M19" s="73" t="n">
        <v>4986.2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235641.325</v>
      </c>
      <c r="D20" s="73" t="n">
        <v>0</v>
      </c>
      <c r="E20" s="86">
        <f>IFERROR((SUM(F20-D20)/D20),0)</f>
        <v/>
      </c>
      <c r="F20" s="73" t="n">
        <v>216726.79</v>
      </c>
      <c r="G20" s="74" t="n">
        <v>1397</v>
      </c>
      <c r="H20" s="63">
        <f>IFERROR(B20/G20,0)</f>
        <v/>
      </c>
      <c r="I20" s="74" t="n">
        <v>125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</f>
        <v/>
      </c>
      <c r="L20" s="89">
        <f>K20/SUM(G20+'Aug 27 - Sept 2'!G20+'Sept 3 - Sept 9'!G20+'Sept 10 - Sept 16'!G20+'Sept 17 - Sept 23'!G20+'Sept 24 - Sept 30'!G20+'Oct 1 - Oct 7'!G20+'Oct 8 - Oct 14'!G20+'Oct 15 - Oct 21'!G20)</f>
        <v/>
      </c>
      <c r="M20" s="73" t="n">
        <v>9505.9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2461944.978</v>
      </c>
      <c r="D4" s="66" t="n">
        <v>1885293.6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</f>
        <v/>
      </c>
      <c r="L4" s="89">
        <f>K4/SUM(G4+'Aug 27 - Sept 2'!G4+'Sept 3 - Sept 9'!G4+'Sept 10 - Sept 16'!G4+'Sept 17 - Sept 23'!G4+'Sept 24 - Sept 30'!G4+'Oct 1 - Oct 7'!G4+'Oct 8 - Oct 14'!G4+'Oct 15 - Oct 21'!G4+'Oct 22 - Oct 28'!G4)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</f>
        <v/>
      </c>
      <c r="L5" s="89">
        <f>K5/SUM(G5+'Aug 27 - Sept 2'!G5+'Sept 3 - Sept 9'!G5+'Sept 10 - Sept 16'!G5+'Sept 17 - Sept 23'!G5+'Sept 24 - Sept 30'!G5+'Oct 1 - Oct 7'!G5+'Oct 8 - Oct 14'!G5+'Oct 15 - Oct 21'!G5+'Oct 22 - Oct 28'!G5)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267592.1775</v>
      </c>
      <c r="D6" s="73" t="n">
        <v>214692.91</v>
      </c>
      <c r="E6" s="86">
        <f>IFERROR((SUM(F6-D6)/D6),0)</f>
        <v/>
      </c>
      <c r="F6" s="73" t="n">
        <v>240216.2</v>
      </c>
      <c r="G6" s="74" t="n">
        <v>1576</v>
      </c>
      <c r="H6" s="63">
        <f>IFERROR(B6/G6,0)</f>
        <v/>
      </c>
      <c r="I6" s="61" t="n">
        <v>82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</f>
        <v/>
      </c>
      <c r="L6" s="89">
        <f>K6/SUM(G6+'Aug 27 - Sept 2'!G6+'Sept 3 - Sept 9'!G6+'Sept 10 - Sept 16'!G6+'Sept 17 - Sept 23'!G6+'Sept 24 - Sept 30'!G6+'Oct 1 - Oct 7'!G6+'Oct 8 - Oct 14'!G6+'Oct 15 - Oct 21'!G6+'Oct 22 - Oct 28'!G6)</f>
        <v/>
      </c>
      <c r="M6" s="73" t="n">
        <v>8681.9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62033.484</v>
      </c>
      <c r="D7" s="73" t="n">
        <v>168207.64</v>
      </c>
      <c r="E7" s="86">
        <f>IFERROR((SUM(F7-D7)/D7),0)</f>
        <v/>
      </c>
      <c r="F7" s="73" t="n">
        <v>149101.4</v>
      </c>
      <c r="G7" s="74" t="n">
        <v>1087</v>
      </c>
      <c r="H7" s="63">
        <f>IFERROR(B7/G7,0)</f>
        <v/>
      </c>
      <c r="I7" s="61" t="n">
        <v>80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</f>
        <v/>
      </c>
      <c r="L7" s="89">
        <f>K7/SUM(G7+'Aug 27 - Sept 2'!G7+'Sept 3 - Sept 9'!G7+'Sept 10 - Sept 16'!G7+'Sept 17 - Sept 23'!G7+'Sept 24 - Sept 30'!G7+'Oct 1 - Oct 7'!G7+'Oct 8 - Oct 14'!G7+'Oct 15 - Oct 21'!G7+'Oct 22 - Oct 28'!G7)</f>
        <v/>
      </c>
      <c r="M7" s="73" t="n">
        <v>11106.38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129020.524</v>
      </c>
      <c r="D8" s="73" t="n">
        <v>109507.04</v>
      </c>
      <c r="E8" s="86">
        <f>IFERROR((SUM(F8-D8)/D8),0)</f>
        <v/>
      </c>
      <c r="F8" s="73" t="n">
        <v>116744.1</v>
      </c>
      <c r="G8" s="74" t="n">
        <v>820</v>
      </c>
      <c r="H8" s="63">
        <f>IFERROR(B8/G8,0)</f>
        <v/>
      </c>
      <c r="I8" s="61" t="n">
        <v>62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</f>
        <v/>
      </c>
      <c r="L8" s="89">
        <f>K8/SUM(G8+'Aug 27 - Sept 2'!G8+'Sept 3 - Sept 9'!G8+'Sept 10 - Sept 16'!G8+'Sept 17 - Sept 23'!G8+'Sept 24 - Sept 30'!G8+'Oct 1 - Oct 7'!G8+'Oct 8 - Oct 14'!G8+'Oct 15 - Oct 21'!G8+'Oct 22 - Oct 28'!G8)</f>
        <v/>
      </c>
      <c r="M8" s="73" t="n">
        <v>3652.9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417021.4754999999</v>
      </c>
      <c r="D9" s="73" t="n">
        <v>313646.24</v>
      </c>
      <c r="E9" s="86">
        <f>IFERROR((SUM(F9-D9)/D9),0)</f>
        <v/>
      </c>
      <c r="F9" s="73" t="n">
        <v>308190.8</v>
      </c>
      <c r="G9" s="74" t="n">
        <v>2245</v>
      </c>
      <c r="H9" s="63">
        <f>IFERROR(B9/G9,0)</f>
        <v/>
      </c>
      <c r="I9" s="61" t="n">
        <v>119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</f>
        <v/>
      </c>
      <c r="L9" s="89">
        <f>K9/SUM(G9+'Aug 27 - Sept 2'!G9+'Sept 3 - Sept 9'!G9+'Sept 10 - Sept 16'!G9+'Sept 17 - Sept 23'!G9+'Sept 24 - Sept 30'!G9+'Oct 1 - Oct 7'!G9+'Oct 8 - Oct 14'!G9+'Oct 15 - Oct 21'!G9+'Oct 22 - Oct 28'!G9)</f>
        <v/>
      </c>
      <c r="M9" s="73" t="n">
        <v>11547.6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160325.985</v>
      </c>
      <c r="D11" s="73" t="n">
        <v>138952.47</v>
      </c>
      <c r="E11" s="86">
        <f>IFERROR((SUM(F11-D11)/D11),0)</f>
        <v/>
      </c>
      <c r="F11" s="73" t="n">
        <v>125359.7</v>
      </c>
      <c r="G11" s="74" t="n">
        <v>882</v>
      </c>
      <c r="H11" s="63">
        <f>IFERROR(B11/G11,0)</f>
        <v/>
      </c>
      <c r="I11" s="61" t="n">
        <v>46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28'!G11)</f>
        <v/>
      </c>
      <c r="M11" s="73" t="n">
        <v>4213.39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350533.4089999999</v>
      </c>
      <c r="D12" s="73" t="n">
        <v>310637.79</v>
      </c>
      <c r="E12" s="86">
        <f>IFERROR((SUM(F12-D12)/D12),0)</f>
        <v/>
      </c>
      <c r="F12" s="73" t="n">
        <v>357361.2</v>
      </c>
      <c r="G12" s="74" t="n">
        <v>2274</v>
      </c>
      <c r="H12" s="63">
        <f>IFERROR(B12/G12,0)</f>
        <v/>
      </c>
      <c r="I12" s="61" t="n">
        <v>143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28'!G12)</f>
        <v/>
      </c>
      <c r="M12" s="73" t="n">
        <v>9991.6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143946.7305</v>
      </c>
      <c r="D13" s="73" t="n">
        <v>120528.82</v>
      </c>
      <c r="E13" s="86">
        <f>IFERROR((SUM(F13-D13)/D13),0)</f>
        <v/>
      </c>
      <c r="F13" s="73" t="n">
        <v>137659.5</v>
      </c>
      <c r="G13" s="74" t="n">
        <v>1125</v>
      </c>
      <c r="H13" s="63">
        <f>IFERROR(B13/G13,0)</f>
        <v/>
      </c>
      <c r="I13" s="61" t="n">
        <v>73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28'!G13)</f>
        <v/>
      </c>
      <c r="M13" s="73" t="n">
        <v>5223.75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262687.1285</v>
      </c>
      <c r="D14" s="73" t="n">
        <v>175227.69</v>
      </c>
      <c r="E14" s="86">
        <f>IFERROR((SUM(F14-D14)/D14),0)</f>
        <v/>
      </c>
      <c r="F14" s="73" t="n">
        <v>219864.7</v>
      </c>
      <c r="G14" s="74" t="n">
        <v>1583</v>
      </c>
      <c r="H14" s="63">
        <f>IFERROR(B14/G14,0)</f>
        <v/>
      </c>
      <c r="I14" s="61" t="n">
        <v>62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28'!G14)</f>
        <v/>
      </c>
      <c r="M14" s="73" t="n">
        <v>6377.7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105075.5</v>
      </c>
      <c r="D15" s="73" t="n">
        <v>77158.52</v>
      </c>
      <c r="E15" s="86">
        <f>IFERROR((SUM(F15-D15)/D15),0)</f>
        <v/>
      </c>
      <c r="F15" s="73" t="n">
        <v>80509.12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28'!G15)</f>
        <v/>
      </c>
      <c r="M15" s="73" t="n">
        <v>1401.25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181820.7385</v>
      </c>
      <c r="D18" s="73" t="n">
        <v>134831.36</v>
      </c>
      <c r="E18" s="86">
        <f>IFERROR((SUM(F18-D18)/D18),0)</f>
        <v/>
      </c>
      <c r="F18" s="73" t="n">
        <v>171766.3</v>
      </c>
      <c r="G18" s="74" t="n">
        <v>1523</v>
      </c>
      <c r="H18" s="63">
        <f>IFERROR(B18/G18,0)</f>
        <v/>
      </c>
      <c r="I18" s="61" t="n">
        <v>126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28'!G18)</f>
        <v/>
      </c>
      <c r="M18" s="73" t="n">
        <v>3854.85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132652.017</v>
      </c>
      <c r="D19" s="73" t="n">
        <v>121903.12</v>
      </c>
      <c r="E19" s="86">
        <f>IFERROR((SUM(F19-D19)/D19),0)</f>
        <v/>
      </c>
      <c r="F19" s="73" t="n">
        <v>113012.4</v>
      </c>
      <c r="G19" s="74" t="n">
        <v>1410</v>
      </c>
      <c r="H19" s="63">
        <f>IFERROR(B19/G19,0)</f>
        <v/>
      </c>
      <c r="I19" s="61" t="n">
        <v>53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28'!G19)</f>
        <v/>
      </c>
      <c r="M19" s="73" t="n">
        <v>4928.7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249235.8085</v>
      </c>
      <c r="D20" s="73" t="n">
        <v>0</v>
      </c>
      <c r="E20" s="86">
        <f>IFERROR((SUM(F20-D20)/D20),0)</f>
        <v/>
      </c>
      <c r="F20" s="73" t="n">
        <v>186727.7</v>
      </c>
      <c r="G20" s="74" t="n">
        <v>1204</v>
      </c>
      <c r="H20" s="63">
        <f>IFERROR(B20/G20,0)</f>
        <v/>
      </c>
      <c r="I20" s="74" t="n">
        <v>116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28'!G20)</f>
        <v/>
      </c>
      <c r="M20" s="73" t="n">
        <v>8066.4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2537490.088</v>
      </c>
      <c r="D4" s="66" t="n">
        <v>1801521.42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276248.63</v>
      </c>
      <c r="D6" s="73" t="n">
        <v>177081.9</v>
      </c>
      <c r="E6" s="86">
        <f>IFERROR((SUM(F6-D6)/D6),0)</f>
        <v/>
      </c>
      <c r="F6" s="73" t="n">
        <v>230376.85</v>
      </c>
      <c r="G6" s="74" t="n">
        <v>1617</v>
      </c>
      <c r="H6" s="63">
        <f>IFERROR(B6/G6,0)</f>
        <v/>
      </c>
      <c r="I6" s="61" t="n">
        <v>74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/>
      </c>
      <c r="M6" s="73" t="n">
        <v>16710.7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171466.61</v>
      </c>
      <c r="D7" s="73" t="n">
        <v>155216</v>
      </c>
      <c r="E7" s="86">
        <f>IFERROR((SUM(F7-D7)/D7),0)</f>
        <v/>
      </c>
      <c r="F7" s="73" t="n">
        <v>179981.9</v>
      </c>
      <c r="G7" s="74" t="n">
        <v>1408</v>
      </c>
      <c r="H7" s="63">
        <f>IFERROR(B7/G7,0)</f>
        <v/>
      </c>
      <c r="I7" s="61" t="n">
        <v>89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/>
      </c>
      <c r="M7" s="73" t="n">
        <v>18212.4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134255.715</v>
      </c>
      <c r="D8" s="73" t="n">
        <v>104402.39</v>
      </c>
      <c r="E8" s="86">
        <f>IFERROR((SUM(F8-D8)/D8),0)</f>
        <v/>
      </c>
      <c r="F8" s="73" t="n">
        <v>116486.4</v>
      </c>
      <c r="G8" s="74" t="n">
        <v>788</v>
      </c>
      <c r="H8" s="63">
        <f>IFERROR(B8/G8,0)</f>
        <v/>
      </c>
      <c r="I8" s="61" t="n">
        <v>81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/>
      </c>
      <c r="M8" s="73" t="n">
        <v>3289.05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354419.42</v>
      </c>
      <c r="D9" s="73" t="n">
        <v>291843.17</v>
      </c>
      <c r="E9" s="86">
        <f>IFERROR((SUM(F9-D9)/D9),0)</f>
        <v/>
      </c>
      <c r="F9" s="73" t="n">
        <v>322539.8</v>
      </c>
      <c r="G9" s="74" t="n">
        <v>2263</v>
      </c>
      <c r="H9" s="63">
        <f>IFERROR(B9/G9,0)</f>
        <v/>
      </c>
      <c r="I9" s="61" t="n">
        <v>104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/>
      </c>
      <c r="M9" s="73" t="n">
        <v>10114.2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144163.655</v>
      </c>
      <c r="D11" s="73" t="n">
        <v>139503.55</v>
      </c>
      <c r="E11" s="86">
        <f>IFERROR((SUM(F11-D11)/D11),0)</f>
        <v/>
      </c>
      <c r="F11" s="73" t="n">
        <v>142319</v>
      </c>
      <c r="G11" s="74" t="n">
        <v>943</v>
      </c>
      <c r="H11" s="63">
        <f>IFERROR(B11/G11,0)</f>
        <v/>
      </c>
      <c r="I11" s="61" t="n">
        <v>43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/>
      </c>
      <c r="M11" s="73" t="n">
        <v>3535.85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410965.38</v>
      </c>
      <c r="D12" s="73" t="n">
        <v>323410.5</v>
      </c>
      <c r="E12" s="86">
        <f>IFERROR((SUM(F12-D12)/D12),0)</f>
        <v/>
      </c>
      <c r="F12" s="73" t="n">
        <v>325055.4</v>
      </c>
      <c r="G12" s="74" t="n">
        <v>2129</v>
      </c>
      <c r="H12" s="63">
        <f>IFERROR(B12/G12,0)</f>
        <v/>
      </c>
      <c r="I12" s="61" t="n">
        <v>117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/>
      </c>
      <c r="M12" s="73" t="n">
        <v>10172.2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158308.425</v>
      </c>
      <c r="D13" s="73" t="n">
        <v>106049.44</v>
      </c>
      <c r="E13" s="86">
        <f>IFERROR((SUM(F13-D13)/D13),0)</f>
        <v/>
      </c>
      <c r="F13" s="73" t="n">
        <v>128157.5</v>
      </c>
      <c r="G13" s="74" t="n">
        <v>1044</v>
      </c>
      <c r="H13" s="63">
        <f>IFERROR(B13/G13,0)</f>
        <v/>
      </c>
      <c r="I13" s="61" t="n">
        <v>58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/>
      </c>
      <c r="M13" s="73" t="n">
        <v>9544.200000000001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252844.405</v>
      </c>
      <c r="D14" s="73" t="n">
        <v>173981.77</v>
      </c>
      <c r="E14" s="86">
        <f>IFERROR((SUM(F14-D14)/D14),0)</f>
        <v/>
      </c>
      <c r="F14" s="73" t="n">
        <v>209425</v>
      </c>
      <c r="G14" s="74" t="n">
        <v>1601</v>
      </c>
      <c r="H14" s="63">
        <f>IFERROR(B14/G14,0)</f>
        <v/>
      </c>
      <c r="I14" s="61" t="n">
        <v>68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/>
      </c>
      <c r="M14" s="73" t="n">
        <v>8522.9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92585.48799999998</v>
      </c>
      <c r="D15" s="73" t="n">
        <v>74986.8</v>
      </c>
      <c r="E15" s="86">
        <f>IFERROR((SUM(F15-D15)/D15),0)</f>
        <v/>
      </c>
      <c r="F15" s="73" t="n">
        <v>98147.38</v>
      </c>
      <c r="G15" s="74" t="n">
        <v>652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/>
      </c>
      <c r="M15" s="73" t="n">
        <v>5629.5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197531.245</v>
      </c>
      <c r="D18" s="73" t="n">
        <v>138986</v>
      </c>
      <c r="E18" s="86">
        <f>IFERROR((SUM(F18-D18)/D18),0)</f>
        <v/>
      </c>
      <c r="F18" s="73" t="n">
        <v>164453.7</v>
      </c>
      <c r="G18" s="74" t="n">
        <v>1409</v>
      </c>
      <c r="H18" s="63">
        <f>IFERROR(B18/G18,0)</f>
        <v/>
      </c>
      <c r="I18" s="61" t="n">
        <v>123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/>
      </c>
      <c r="M18" s="73" t="n">
        <v>2555.2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129964.26</v>
      </c>
      <c r="D19" s="73" t="n">
        <v>116059.9</v>
      </c>
      <c r="E19" s="86">
        <f>IFERROR((SUM(F19-D19)/D19),0)</f>
        <v/>
      </c>
      <c r="F19" s="73" t="n">
        <v>111401.3</v>
      </c>
      <c r="G19" s="74" t="n">
        <v>775</v>
      </c>
      <c r="H19" s="63">
        <f>IFERROR(B19/G19,0)</f>
        <v/>
      </c>
      <c r="I19" s="61" t="n">
        <v>31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/>
      </c>
      <c r="M19" s="73" t="n">
        <v>3768.5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214736.855</v>
      </c>
      <c r="D20" s="73" t="n">
        <v>0</v>
      </c>
      <c r="E20" s="86">
        <f>IFERROR((SUM(F20-D20)/D20),0)</f>
        <v/>
      </c>
      <c r="F20" s="73" t="n">
        <v>242297.9</v>
      </c>
      <c r="G20" s="74" t="n">
        <v>1424</v>
      </c>
      <c r="H20" s="63">
        <f>IFERROR(B20/G20,0)</f>
        <v/>
      </c>
      <c r="I20" s="74" t="n">
        <v>68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/>
      </c>
      <c r="M20" s="73" t="n">
        <v>10564.65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2498368.9625</v>
      </c>
      <c r="D4" s="66" t="n">
        <v>1847434.61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264933.3775</v>
      </c>
      <c r="D6" s="73" t="n">
        <v>202857.5</v>
      </c>
      <c r="E6" s="86">
        <f>IFERROR((SUM(F6-D6)/D6),0)</f>
        <v/>
      </c>
      <c r="F6" s="73" t="n">
        <v>230527.2</v>
      </c>
      <c r="G6" s="74" t="n">
        <v>1657</v>
      </c>
      <c r="H6" s="63">
        <f>IFERROR(B6/G6,0)</f>
        <v/>
      </c>
      <c r="I6" s="61" t="n">
        <v>84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/>
      </c>
      <c r="M6" s="73" t="n">
        <v>9262.549999999999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206979.185</v>
      </c>
      <c r="D7" s="73" t="n">
        <v>183476.04</v>
      </c>
      <c r="E7" s="86">
        <f>IFERROR((SUM(F7-D7)/D7),0)</f>
        <v/>
      </c>
      <c r="F7" s="73" t="n">
        <v>313293.7</v>
      </c>
      <c r="G7" s="74" t="n">
        <v>2167</v>
      </c>
      <c r="H7" s="63">
        <f>IFERROR(B7/G7,0)</f>
        <v/>
      </c>
      <c r="I7" s="61" t="n">
        <v>102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/>
      </c>
      <c r="M7" s="73" t="n">
        <v>12889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133959.36</v>
      </c>
      <c r="D8" s="73" t="n">
        <v>102243.3</v>
      </c>
      <c r="E8" s="86">
        <f>IFERROR((SUM(F8-D8)/D8),0)</f>
        <v/>
      </c>
      <c r="F8" s="73" t="n">
        <v>121201.1</v>
      </c>
      <c r="G8" s="74" t="n">
        <v>827</v>
      </c>
      <c r="H8" s="63">
        <f>IFERROR(B8/G8,0)</f>
        <v/>
      </c>
      <c r="I8" s="61" t="n">
        <v>48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/>
      </c>
      <c r="M8" s="73" t="n">
        <v>5261.3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370920.77</v>
      </c>
      <c r="D9" s="73" t="n">
        <v>275301.94</v>
      </c>
      <c r="E9" s="86">
        <f>IFERROR((SUM(F9-D9)/D9),0)</f>
        <v/>
      </c>
      <c r="F9" s="73" t="n">
        <v>354340.7</v>
      </c>
      <c r="G9" s="74" t="n">
        <v>2430</v>
      </c>
      <c r="H9" s="63">
        <f>IFERROR(B9/G9,0)</f>
        <v/>
      </c>
      <c r="I9" s="61" t="n">
        <v>96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/>
      </c>
      <c r="M9" s="73" t="n">
        <v>8258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163666.85</v>
      </c>
      <c r="D11" s="73" t="n">
        <v>133657.3</v>
      </c>
      <c r="E11" s="86">
        <f>IFERROR((SUM(F11-D11)/D11),0)</f>
        <v/>
      </c>
      <c r="F11" s="73" t="n">
        <v>133992.3</v>
      </c>
      <c r="G11" s="74" t="n">
        <v>895</v>
      </c>
      <c r="H11" s="63">
        <f>IFERROR(B11/G11,0)</f>
        <v/>
      </c>
      <c r="I11" s="61" t="n">
        <v>72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/>
      </c>
      <c r="M11" s="73" t="n">
        <v>3261.5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373813.71</v>
      </c>
      <c r="D12" s="73" t="n">
        <v>310506.4</v>
      </c>
      <c r="E12" s="86">
        <f>IFERROR((SUM(F12-D12)/D12),0)</f>
        <v/>
      </c>
      <c r="F12" s="73" t="n">
        <v>309782.7</v>
      </c>
      <c r="G12" s="74" t="n">
        <v>2128</v>
      </c>
      <c r="H12" s="63">
        <f>IFERROR(B12/G12,0)</f>
        <v/>
      </c>
      <c r="I12" s="61" t="n">
        <v>106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/>
      </c>
      <c r="M12" s="73" t="n">
        <v>9439.65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147381.125</v>
      </c>
      <c r="D13" s="73" t="n">
        <v>105931.3</v>
      </c>
      <c r="E13" s="86">
        <f>IFERROR((SUM(F13-D13)/D13),0)</f>
        <v/>
      </c>
      <c r="F13" s="73" t="n">
        <v>137174.3</v>
      </c>
      <c r="G13" s="74" t="n">
        <v>1139</v>
      </c>
      <c r="H13" s="63">
        <f>IFERROR(B13/G13,0)</f>
        <v/>
      </c>
      <c r="I13" s="61" t="n">
        <v>47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/>
      </c>
      <c r="M13" s="73" t="n">
        <v>7576.8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240838.75</v>
      </c>
      <c r="D14" s="73" t="n">
        <v>190299.1</v>
      </c>
      <c r="E14" s="86">
        <f>IFERROR((SUM(F14-D14)/D14),0)</f>
        <v/>
      </c>
      <c r="F14" s="73" t="n">
        <v>199894.3</v>
      </c>
      <c r="G14" s="74" t="n">
        <v>1553</v>
      </c>
      <c r="H14" s="63">
        <f>IFERROR(B14/G14,0)</f>
        <v/>
      </c>
      <c r="I14" s="61" t="n">
        <v>103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/>
      </c>
      <c r="M14" s="73" t="n">
        <v>6204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85948.17</v>
      </c>
      <c r="E15" s="86">
        <f>IFERROR((SUM(F15-D15)/D15),0)</f>
        <v/>
      </c>
      <c r="F15" s="73" t="n">
        <v>89631.28999999999</v>
      </c>
      <c r="G15" s="74" t="n">
        <v>547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/>
      </c>
      <c r="M15" s="73" t="n">
        <v>3898.09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189121.755</v>
      </c>
      <c r="D18" s="73" t="n">
        <v>131313.1</v>
      </c>
      <c r="E18" s="86">
        <f>IFERROR((SUM(F18-D18)/D18),0)</f>
        <v/>
      </c>
      <c r="F18" s="73" t="n">
        <v>154493.5</v>
      </c>
      <c r="G18" s="74" t="n">
        <v>1403</v>
      </c>
      <c r="H18" s="63">
        <f>IFERROR(B18/G18,0)</f>
        <v/>
      </c>
      <c r="I18" s="61" t="n">
        <v>134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/>
      </c>
      <c r="M18" s="73" t="n">
        <v>3625.9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128111.495</v>
      </c>
      <c r="D19" s="73" t="n">
        <v>125900.46</v>
      </c>
      <c r="E19" s="86">
        <f>IFERROR((SUM(F19-D19)/D19),0)</f>
        <v/>
      </c>
      <c r="F19" s="73" t="n">
        <v>128338.69</v>
      </c>
      <c r="G19" s="74" t="n">
        <v>856</v>
      </c>
      <c r="H19" s="63">
        <f>IFERROR(B19/G19,0)</f>
        <v/>
      </c>
      <c r="I19" s="61" t="n">
        <v>43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/>
      </c>
      <c r="M19" s="73" t="n">
        <v>5267.25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278642.585</v>
      </c>
      <c r="D20" s="73" t="n">
        <v>0</v>
      </c>
      <c r="E20" s="86">
        <f>IFERROR((SUM(F20-D20)/D20),0)</f>
        <v/>
      </c>
      <c r="F20" s="73" t="n">
        <v>230025.6</v>
      </c>
      <c r="G20" s="74" t="n">
        <v>1691</v>
      </c>
      <c r="H20" s="63">
        <f>IFERROR(B20/G20,0)</f>
        <v/>
      </c>
      <c r="I20" s="74" t="n">
        <v>108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/>
      </c>
      <c r="M20" s="73" t="n">
        <v>11483.4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397" t="n"/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9"/>
    <col hidden="1" width="9.6640625" customWidth="1" style="69" min="10" max="10"/>
    <col hidden="1" width="9.33203125" customWidth="1" style="69" min="11" max="11"/>
    <col hidden="1"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2029682.86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/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/>
      </c>
      <c r="L5" s="89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225596.02</v>
      </c>
      <c r="E6" s="86">
        <f>IFERROR((SUM(F6-D6)/D6),0)</f>
        <v/>
      </c>
      <c r="F6" s="73" t="n">
        <v>256902.53</v>
      </c>
      <c r="G6" s="74" t="n">
        <v>1896</v>
      </c>
      <c r="H6" s="63">
        <f>IFERROR(B6/G6,0)</f>
        <v/>
      </c>
      <c r="I6" s="61" t="n">
        <v>58</v>
      </c>
      <c r="J6" s="28">
        <f>I6/G6</f>
        <v/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/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/>
      </c>
      <c r="M6" s="73" t="n">
        <v>8386.26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212727.33</v>
      </c>
      <c r="E7" s="86">
        <f>IFERROR((SUM(F7-D7)/D7),0)</f>
        <v/>
      </c>
      <c r="F7" s="73" t="n">
        <v>245413.55</v>
      </c>
      <c r="G7" s="74" t="n">
        <v>2190</v>
      </c>
      <c r="H7" s="63">
        <f>IFERROR(B7/G7,0)</f>
        <v/>
      </c>
      <c r="I7" s="61" t="n">
        <v>44</v>
      </c>
      <c r="J7" s="28">
        <f>I7/G7</f>
        <v/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/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/>
      </c>
      <c r="M7" s="73" t="n">
        <v>8980.6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135603.13</v>
      </c>
      <c r="E8" s="86">
        <f>IFERROR((SUM(F8-D8)/D8),0)</f>
        <v/>
      </c>
      <c r="F8" s="73" t="n">
        <v>136957</v>
      </c>
      <c r="G8" s="74" t="n">
        <v>948</v>
      </c>
      <c r="H8" s="63">
        <f>IFERROR(B8/G8,0)</f>
        <v/>
      </c>
      <c r="I8" s="61" t="n">
        <v>24</v>
      </c>
      <c r="J8" s="28">
        <f>I8/G8</f>
        <v/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/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/>
      </c>
      <c r="M8" s="73" t="n">
        <v>4774.1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298303.36</v>
      </c>
      <c r="E9" s="86">
        <f>IFERROR((SUM(F9-D9)/D9),0)</f>
        <v/>
      </c>
      <c r="F9" s="73" t="n">
        <v>358375.04</v>
      </c>
      <c r="G9" s="74" t="n">
        <v>2480</v>
      </c>
      <c r="H9" s="63">
        <f>IFERROR(B9/G9,0)</f>
        <v/>
      </c>
      <c r="I9" s="61" t="n">
        <v>56</v>
      </c>
      <c r="J9" s="28">
        <f>I9/G9</f>
        <v/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/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/>
      </c>
      <c r="M9" s="73" t="n">
        <v>10662.35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/>
      </c>
      <c r="L10" s="89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140595.3</v>
      </c>
      <c r="E11" s="86">
        <f>IFERROR((SUM(F11-D11)/D11),0)</f>
        <v/>
      </c>
      <c r="F11" s="73" t="n">
        <v>142236.65</v>
      </c>
      <c r="G11" s="74" t="n">
        <v>995</v>
      </c>
      <c r="H11" s="63">
        <f>IFERROR(B11/G11,0)</f>
        <v/>
      </c>
      <c r="I11" s="61" t="n">
        <v>32</v>
      </c>
      <c r="J11" s="28">
        <f>I11/G11</f>
        <v/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/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/>
      </c>
      <c r="M11" s="73" t="n">
        <v>7892.5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352327.48</v>
      </c>
      <c r="E12" s="86">
        <f>IFERROR((SUM(F12-D12)/D12),0)</f>
        <v/>
      </c>
      <c r="F12" s="73" t="n">
        <v>318574.28</v>
      </c>
      <c r="G12" s="74" t="n">
        <v>2215</v>
      </c>
      <c r="H12" s="63">
        <f>IFERROR(B12/G12,0)</f>
        <v/>
      </c>
      <c r="I12" s="61" t="n">
        <v>59</v>
      </c>
      <c r="J12" s="28">
        <f>I12/G12</f>
        <v/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/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/>
      </c>
      <c r="M12" s="73" t="n">
        <v>11241.3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114548.15</v>
      </c>
      <c r="E13" s="86">
        <f>IFERROR((SUM(F13-D13)/D13),0)</f>
        <v/>
      </c>
      <c r="F13" s="73" t="n">
        <v>128803.75</v>
      </c>
      <c r="G13" s="74" t="n">
        <v>1111</v>
      </c>
      <c r="H13" s="63">
        <f>IFERROR(B13/G13,0)</f>
        <v/>
      </c>
      <c r="I13" s="61" t="n">
        <v>34</v>
      </c>
      <c r="J13" s="28">
        <f>I13/G13</f>
        <v/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/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/>
      </c>
      <c r="M13" s="73" t="n">
        <v>7930.2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197072.43</v>
      </c>
      <c r="E14" s="86">
        <f>IFERROR((SUM(F14-D14)/D14),0)</f>
        <v/>
      </c>
      <c r="F14" s="73" t="n">
        <v>215499.76</v>
      </c>
      <c r="G14" s="74" t="n">
        <v>1658</v>
      </c>
      <c r="H14" s="63">
        <f>IFERROR(B14/G14,0)</f>
        <v/>
      </c>
      <c r="I14" s="61" t="n">
        <v>35</v>
      </c>
      <c r="J14" s="28">
        <f>I14/G14</f>
        <v/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/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/>
      </c>
      <c r="M14" s="73" t="n">
        <v>5179.9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80963.73</v>
      </c>
      <c r="E15" s="86">
        <f>IFERROR((SUM(F15-D15)/D15),0)</f>
        <v/>
      </c>
      <c r="F15" s="73" t="n">
        <v>109266.08</v>
      </c>
      <c r="G15" s="74" t="n">
        <v>581</v>
      </c>
      <c r="H15" s="63">
        <f>IFERROR(B15/G15,0)</f>
        <v/>
      </c>
      <c r="I15" s="61" t="n"/>
      <c r="J15" s="28">
        <f>I15/G15</f>
        <v/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/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/>
      </c>
      <c r="M15" s="73" t="n">
        <v>6603.3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/>
      </c>
      <c r="L16" s="89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/>
      </c>
      <c r="L17" s="89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133326.16</v>
      </c>
      <c r="E18" s="86">
        <f>IFERROR((SUM(F18-D18)/D18),0)</f>
        <v/>
      </c>
      <c r="F18" s="73" t="n">
        <v>157729.49</v>
      </c>
      <c r="G18" s="74" t="n">
        <v>1440</v>
      </c>
      <c r="H18" s="63">
        <f>IFERROR(B18/G18,0)</f>
        <v/>
      </c>
      <c r="I18" s="61" t="n">
        <v>17</v>
      </c>
      <c r="J18" s="28">
        <f>I18/G18</f>
        <v/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/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/>
      </c>
      <c r="M18" s="73" t="n">
        <v>4816.1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138619.77</v>
      </c>
      <c r="E19" s="86">
        <f>IFERROR((SUM(F19-D19)/D19),0)</f>
        <v/>
      </c>
      <c r="F19" s="73" t="n">
        <v>125199.1</v>
      </c>
      <c r="G19" s="74" t="n">
        <v>863</v>
      </c>
      <c r="H19" s="63">
        <f>IFERROR(B19/G19,0)</f>
        <v/>
      </c>
      <c r="I19" s="61" t="n">
        <v>29</v>
      </c>
      <c r="J19" s="28">
        <f>I19/G19</f>
        <v/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/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/>
      </c>
      <c r="M19" s="73" t="n">
        <v>4086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>
        <v>0</v>
      </c>
      <c r="E20" s="86">
        <f>IFERROR((SUM(F20-D20)/D20),0)</f>
        <v/>
      </c>
      <c r="F20" s="73" t="n">
        <v>223473.37</v>
      </c>
      <c r="G20" s="74" t="n">
        <v>1625</v>
      </c>
      <c r="H20" s="63">
        <f>IFERROR(B20/G20,0)</f>
        <v/>
      </c>
      <c r="I20" s="74" t="n">
        <v>33</v>
      </c>
      <c r="J20" s="28">
        <f>I20/G20</f>
        <v/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/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/>
      </c>
      <c r="M20" s="73" t="n">
        <v>14915.1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88"/>
  <drawing r:id="rId1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2763099.687</v>
      </c>
      <c r="D4" s="66" t="n">
        <v>2271154.92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</f>
        <v/>
      </c>
      <c r="L4" s="89">
        <f>K4/SUM(G4+'Nov 19 - Nov 25'!G4)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</f>
        <v/>
      </c>
      <c r="L5" s="89">
        <f>K5/SUM(G5+'Nov 19 - Nov 25'!G5)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265106.28</v>
      </c>
      <c r="D6" s="73" t="n">
        <v>275995.9</v>
      </c>
      <c r="E6" s="86">
        <f>IFERROR((SUM(F6-D6)/D6),0)</f>
        <v/>
      </c>
      <c r="F6" s="73" t="n">
        <v>323437.12</v>
      </c>
      <c r="G6" s="74" t="n">
        <v>2374</v>
      </c>
      <c r="H6" s="63">
        <f>IFERROR(B6/G6,0)</f>
        <v/>
      </c>
      <c r="I6" s="61" t="n">
        <v>70</v>
      </c>
      <c r="J6" s="28">
        <f>I6/G6</f>
        <v/>
      </c>
      <c r="K6" s="46">
        <f>I6+'Nov 19 - Nov 25'!I6</f>
        <v/>
      </c>
      <c r="L6" s="89">
        <f>K6/SUM(G6+'Nov 19 - Nov 25'!G6)</f>
        <v/>
      </c>
      <c r="M6" s="73" t="n">
        <v>8625.35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360287.755</v>
      </c>
      <c r="D7" s="73" t="n">
        <v>276237.5</v>
      </c>
      <c r="E7" s="86">
        <f>IFERROR((SUM(F7-D7)/D7),0)</f>
        <v/>
      </c>
      <c r="F7" s="73" t="n">
        <v>338183.9</v>
      </c>
      <c r="G7" s="74" t="n">
        <v>2551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</f>
        <v/>
      </c>
      <c r="L7" s="89">
        <f>K7/SUM(G7+'Nov 19 - Nov 25'!G7)</f>
        <v/>
      </c>
      <c r="M7" s="73" t="n">
        <v>13586.6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139381.265</v>
      </c>
      <c r="D8" s="73" t="n">
        <v>124869.2</v>
      </c>
      <c r="E8" s="86">
        <f>IFERROR((SUM(F8-D8)/D8),0)</f>
        <v/>
      </c>
      <c r="F8" s="73" t="n">
        <v>134962.8</v>
      </c>
      <c r="G8" s="74" t="n">
        <v>938</v>
      </c>
      <c r="H8" s="63">
        <f>IFERROR(B8/G8,0)</f>
        <v/>
      </c>
      <c r="I8" s="61" t="n">
        <v>21</v>
      </c>
      <c r="J8" s="28">
        <f>I8/G8</f>
        <v/>
      </c>
      <c r="K8" s="46">
        <f>I8+'Nov 19 - Nov 25'!I8</f>
        <v/>
      </c>
      <c r="L8" s="89">
        <f>K8/SUM(G8+'Nov 19 - Nov 25'!G8)</f>
        <v/>
      </c>
      <c r="M8" s="73" t="n">
        <v>3769.15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407491.805</v>
      </c>
      <c r="D9" s="73" t="n">
        <v>314726.6</v>
      </c>
      <c r="E9" s="86">
        <f>IFERROR((SUM(F9-D9)/D9),0)</f>
        <v/>
      </c>
      <c r="F9" s="73" t="n">
        <v>420853.2</v>
      </c>
      <c r="G9" s="74" t="n">
        <v>2688</v>
      </c>
      <c r="H9" s="63">
        <f>IFERROR(B9/G9,0)</f>
        <v/>
      </c>
      <c r="I9" s="61" t="n">
        <v>70</v>
      </c>
      <c r="J9" s="28">
        <f>I9/G9</f>
        <v/>
      </c>
      <c r="K9" s="46">
        <f>I9+'Nov 19 - Nov 25'!I9</f>
        <v/>
      </c>
      <c r="L9" s="89">
        <f>K9/SUM(G9+'Nov 19 - Nov 25'!G9)</f>
        <v/>
      </c>
      <c r="M9" s="73" t="n">
        <v>8754.5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</f>
        <v/>
      </c>
      <c r="L10" s="89">
        <f>K10/SUM(G10+'Nov 19 - Nov 25'!G10)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154091.145</v>
      </c>
      <c r="D11" s="73" t="n">
        <v>158523.3</v>
      </c>
      <c r="E11" s="86">
        <f>IFERROR((SUM(F11-D11)/D11),0)</f>
        <v/>
      </c>
      <c r="F11" s="73" t="n">
        <v>170438.2</v>
      </c>
      <c r="G11" s="74" t="n">
        <v>1158</v>
      </c>
      <c r="H11" s="63">
        <f>IFERROR(B11/G11,0)</f>
        <v/>
      </c>
      <c r="I11" s="61" t="n">
        <v>51</v>
      </c>
      <c r="J11" s="28">
        <f>I11/G11</f>
        <v/>
      </c>
      <c r="K11" s="46">
        <f>I11+'Nov 19 - Nov 25'!I11</f>
        <v/>
      </c>
      <c r="L11" s="89">
        <f>K11/SUM(G11+'Nov 19 - Nov 25'!G11)</f>
        <v/>
      </c>
      <c r="M11" s="73" t="n">
        <v>5145.3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356250.105</v>
      </c>
      <c r="D12" s="73" t="n">
        <v>372248.9</v>
      </c>
      <c r="E12" s="86">
        <f>IFERROR((SUM(F12-D12)/D12),0)</f>
        <v/>
      </c>
      <c r="F12" s="73" t="n">
        <v>357727.6</v>
      </c>
      <c r="G12" s="74" t="n">
        <v>2387</v>
      </c>
      <c r="H12" s="63">
        <f>IFERROR(B12/G12,0)</f>
        <v/>
      </c>
      <c r="I12" s="61" t="n">
        <v>101</v>
      </c>
      <c r="J12" s="28">
        <f>I12/G12</f>
        <v/>
      </c>
      <c r="K12" s="46">
        <f>I12+'Nov 19 - Nov 25'!I12</f>
        <v/>
      </c>
      <c r="L12" s="89">
        <f>K12/SUM(G12+'Nov 19 - Nov 25'!G12)</f>
        <v/>
      </c>
      <c r="M12" s="73" t="n">
        <v>13082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157750.445</v>
      </c>
      <c r="D13" s="73" t="n">
        <v>131328.3</v>
      </c>
      <c r="E13" s="86">
        <f>IFERROR((SUM(F13-D13)/D13),0)</f>
        <v/>
      </c>
      <c r="F13" s="73" t="n">
        <v>145174.03</v>
      </c>
      <c r="G13" s="74" t="n">
        <v>1196</v>
      </c>
      <c r="H13" s="63">
        <f>IFERROR(B13/G13,0)</f>
        <v/>
      </c>
      <c r="I13" s="61" t="n">
        <v>37</v>
      </c>
      <c r="J13" s="28">
        <f>I13/G13</f>
        <v/>
      </c>
      <c r="K13" s="46">
        <f>I13+'Nov 19 - Nov 25'!I13</f>
        <v/>
      </c>
      <c r="L13" s="89">
        <f>K13/SUM(G13+'Nov 19 - Nov 25'!G13)</f>
        <v/>
      </c>
      <c r="M13" s="73" t="n">
        <v>6764.7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229878.445</v>
      </c>
      <c r="D14" s="73" t="n">
        <v>240200.3</v>
      </c>
      <c r="E14" s="86">
        <f>IFERROR((SUM(F14-D14)/D14),0)</f>
        <v/>
      </c>
      <c r="F14" s="73" t="n">
        <v>291527.74</v>
      </c>
      <c r="G14" s="74" t="n">
        <v>2260</v>
      </c>
      <c r="H14" s="63">
        <f>IFERROR(B14/G14,0)</f>
        <v/>
      </c>
      <c r="I14" s="61" t="n">
        <v>52</v>
      </c>
      <c r="J14" s="28">
        <f>I14/G14</f>
        <v/>
      </c>
      <c r="K14" s="46">
        <f>I14+'Nov 19 - Nov 25'!I14</f>
        <v/>
      </c>
      <c r="L14" s="89">
        <f>K14/SUM(G14+'Nov 19 - Nov 25'!G14)</f>
        <v/>
      </c>
      <c r="M14" s="73" t="n">
        <v>6611.8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103075.9835</v>
      </c>
      <c r="D15" s="73" t="n">
        <v>70352.72</v>
      </c>
      <c r="E15" s="86">
        <f>IFERROR((SUM(F15-D15)/D15),0)</f>
        <v/>
      </c>
      <c r="F15" s="73" t="n">
        <v>110705.21</v>
      </c>
      <c r="G15" s="74" t="n">
        <v>826</v>
      </c>
      <c r="H15" s="63">
        <f>IFERROR(B15/G15,0)</f>
        <v/>
      </c>
      <c r="I15" s="61" t="n"/>
      <c r="J15" s="28">
        <f>I15/G15</f>
        <v/>
      </c>
      <c r="K15" s="46">
        <f>I15+'Nov 19 - Nov 25'!I15</f>
        <v/>
      </c>
      <c r="L15" s="89">
        <f>K15/SUM(G15+'Nov 19 - Nov 25'!G15)</f>
        <v/>
      </c>
      <c r="M15" s="73" t="n">
        <v>5909.9</v>
      </c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</f>
        <v/>
      </c>
      <c r="L16" s="89">
        <f>K16/SUM(G16+'Nov 19 - Nov 25'!G16)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</f>
        <v/>
      </c>
      <c r="L17" s="89">
        <f>K17/SUM(G17+'Nov 19 - Nov 25'!G17)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177667.525</v>
      </c>
      <c r="D18" s="73" t="n">
        <v>163148.3</v>
      </c>
      <c r="E18" s="86">
        <f>IFERROR((SUM(F18-D18)/D18),0)</f>
        <v/>
      </c>
      <c r="F18" s="73" t="n">
        <v>204683.2</v>
      </c>
      <c r="G18" s="74" t="n">
        <v>1867</v>
      </c>
      <c r="H18" s="63">
        <f>IFERROR(B18/G18,0)</f>
        <v/>
      </c>
      <c r="I18" s="61" t="n">
        <v>29</v>
      </c>
      <c r="J18" s="28">
        <f>I18/G18</f>
        <v/>
      </c>
      <c r="K18" s="46">
        <f>I18+'Nov 19 - Nov 25'!I18</f>
        <v/>
      </c>
      <c r="L18" s="89">
        <f>K18/SUM(G18+'Nov 19 - Nov 25'!G18)</f>
        <v/>
      </c>
      <c r="M18" s="73" t="n">
        <v>2777.5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147589.4935</v>
      </c>
      <c r="D19" s="73" t="n">
        <v>143523.9</v>
      </c>
      <c r="E19" s="86">
        <f>IFERROR((SUM(F19-D19)/D19),0)</f>
        <v/>
      </c>
      <c r="F19" s="73" t="n">
        <v>160866.38</v>
      </c>
      <c r="G19" s="74" t="n">
        <v>1095</v>
      </c>
      <c r="H19" s="63">
        <f>IFERROR(B19/G19,0)</f>
        <v/>
      </c>
      <c r="I19" s="61" t="n">
        <v>18</v>
      </c>
      <c r="J19" s="28">
        <f>I19/G19</f>
        <v/>
      </c>
      <c r="K19" s="46">
        <f>I19+'Nov 19 - Nov 25'!I19</f>
        <v/>
      </c>
      <c r="L19" s="89">
        <f>K19/SUM(G19+'Nov 19 - Nov 25'!G19)</f>
        <v/>
      </c>
      <c r="M19" s="73" t="n">
        <v>5318.5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264529.44</v>
      </c>
      <c r="D20" s="73" t="n"/>
      <c r="E20" s="86">
        <f>IFERROR((SUM(F20-D20)/D20),0)</f>
        <v/>
      </c>
      <c r="F20" s="73" t="n">
        <v>241469.2</v>
      </c>
      <c r="G20" s="74" t="n">
        <v>1636</v>
      </c>
      <c r="H20" s="63">
        <f>IFERROR(B20/G20,0)</f>
        <v/>
      </c>
      <c r="I20" s="74" t="n">
        <v>32</v>
      </c>
      <c r="J20" s="28">
        <f>I20/G20</f>
        <v/>
      </c>
      <c r="K20" s="46">
        <f>I20+'Nov 19 - Nov 25'!I20</f>
        <v/>
      </c>
      <c r="L20" s="89">
        <f>K20/SUM(G20+'Nov 19 - Nov 25'!G20)</f>
        <v/>
      </c>
      <c r="M20" s="73" t="n">
        <v>8084.15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(((F4-F20)-D4)/D4)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3207721.8755</v>
      </c>
      <c r="D4" s="66" t="n">
        <v>2420931.03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371952.688</v>
      </c>
      <c r="D6" s="73" t="n">
        <v>269307</v>
      </c>
      <c r="E6" s="86">
        <f>IFERROR((SUM(F6-D6)/D6),0)</f>
        <v/>
      </c>
      <c r="F6" s="73" t="n">
        <v>320822.5</v>
      </c>
      <c r="G6" s="74" t="n">
        <v>2238</v>
      </c>
      <c r="H6" s="63">
        <f>IFERROR(B6/G6,0)</f>
        <v/>
      </c>
      <c r="I6" s="61" t="n">
        <v>65</v>
      </c>
      <c r="J6" s="28">
        <f>I6/G6</f>
        <v/>
      </c>
      <c r="K6" s="46">
        <f>I6+'Nov 19 - Nov 25'!I6+'Nov 26 - Dec 2'!I6</f>
        <v/>
      </c>
      <c r="L6" s="89">
        <f>K6/SUM(G6+'Nov 19 - Nov 25'!G6+'Nov 26 - Dec 2'!G6)</f>
        <v/>
      </c>
      <c r="M6" s="73" t="n">
        <v>7161.06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388911.485</v>
      </c>
      <c r="D7" s="73" t="n">
        <v>318577.51</v>
      </c>
      <c r="E7" s="86">
        <f>IFERROR((SUM(F7-D7)/D7),0)</f>
        <v/>
      </c>
      <c r="F7" s="73" t="n">
        <v>391424.7</v>
      </c>
      <c r="G7" s="74" t="n">
        <v>4509</v>
      </c>
      <c r="H7" s="63">
        <f>IFERROR(B7/G7,0)</f>
        <v/>
      </c>
      <c r="I7" s="61" t="n">
        <v>79</v>
      </c>
      <c r="J7" s="28">
        <f>I7/G7</f>
        <v/>
      </c>
      <c r="K7" s="46">
        <f>I7+'Nov 19 - Nov 25'!I7+'Nov 26 - Dec 2'!I7</f>
        <v/>
      </c>
      <c r="L7" s="89">
        <f>K7/SUM(G7+'Nov 19 - Nov 25'!G7+'Nov 26 - Dec 2'!G7)</f>
        <v/>
      </c>
      <c r="M7" s="73" t="n">
        <v>12137.12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155207.22</v>
      </c>
      <c r="D8" s="73" t="n">
        <v>128340.3</v>
      </c>
      <c r="E8" s="86">
        <f>IFERROR((SUM(F8-D8)/D8),0)</f>
        <v/>
      </c>
      <c r="F8" s="73" t="n">
        <v>164133.6</v>
      </c>
      <c r="G8" s="74" t="n">
        <v>1226</v>
      </c>
      <c r="H8" s="63">
        <f>IFERROR(B8/G8,0)</f>
        <v/>
      </c>
      <c r="I8" s="61" t="n">
        <v>28</v>
      </c>
      <c r="J8" s="28">
        <f>I8/G8</f>
        <v/>
      </c>
      <c r="K8" s="46">
        <f>I8+'Nov 19 - Nov 25'!I8+'Nov 26 - Dec 2'!I8</f>
        <v/>
      </c>
      <c r="L8" s="89">
        <f>K8/SUM(G8+'Nov 19 - Nov 25'!G8+'Nov 26 - Dec 2'!G8)</f>
        <v/>
      </c>
      <c r="M8" s="73" t="n">
        <v>5236.2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483981.18</v>
      </c>
      <c r="D9" s="73" t="n">
        <v>345474.7</v>
      </c>
      <c r="E9" s="86">
        <f>IFERROR((SUM(F9-D9)/D9),0)</f>
        <v/>
      </c>
      <c r="F9" s="73" t="n">
        <v>447806</v>
      </c>
      <c r="G9" s="74" t="n">
        <v>2947</v>
      </c>
      <c r="H9" s="63">
        <f>IFERROR(B9/G9,0)</f>
        <v/>
      </c>
      <c r="I9" s="61" t="n">
        <v>76</v>
      </c>
      <c r="J9" s="28">
        <f>I9/G9</f>
        <v/>
      </c>
      <c r="K9" s="46">
        <f>I9+'Nov 19 - Nov 25'!I9+'Nov 26 - Dec 2'!I9</f>
        <v/>
      </c>
      <c r="L9" s="89">
        <f>K9/SUM(G9+'Nov 19 - Nov 25'!G9+'Nov 26 - Dec 2'!G9)</f>
        <v/>
      </c>
      <c r="M9" s="73" t="n">
        <v>13023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196003.93</v>
      </c>
      <c r="D11" s="73" t="n">
        <v>160121.5</v>
      </c>
      <c r="E11" s="86">
        <f>IFERROR((SUM(F11-D11)/D11),0)</f>
        <v/>
      </c>
      <c r="F11" s="73" t="n">
        <v>148868.3</v>
      </c>
      <c r="G11" s="74" t="n">
        <v>1079</v>
      </c>
      <c r="H11" s="63">
        <f>IFERROR(B11/G11,0)</f>
        <v/>
      </c>
      <c r="I11" s="61" t="n">
        <v>37</v>
      </c>
      <c r="J11" s="28">
        <f>I11/G11</f>
        <v/>
      </c>
      <c r="K11" s="46">
        <f>I11+'Nov 19 - Nov 25'!I11+'Nov 26 - Dec 2'!I11</f>
        <v/>
      </c>
      <c r="L11" s="89">
        <f>K11/SUM(G11+'Nov 19 - Nov 25'!G11+'Nov 26 - Dec 2'!G11)</f>
        <v/>
      </c>
      <c r="M11" s="73" t="n">
        <v>5285.3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411386.7399999999</v>
      </c>
      <c r="D12" s="73" t="n">
        <v>379493.81</v>
      </c>
      <c r="E12" s="86">
        <f>IFERROR((SUM(F12-D12)/D12),0)</f>
        <v/>
      </c>
      <c r="F12" s="73" t="n">
        <v>371134</v>
      </c>
      <c r="G12" s="74" t="n">
        <v>2435</v>
      </c>
      <c r="H12" s="63">
        <f>IFERROR(B12/G12,0)</f>
        <v/>
      </c>
      <c r="I12" s="61" t="n">
        <v>72</v>
      </c>
      <c r="J12" s="28">
        <f>I12/G12</f>
        <v/>
      </c>
      <c r="K12" s="46">
        <f>I12+'Nov 19 - Nov 25'!I12+'Nov 26 - Dec 2'!I12</f>
        <v/>
      </c>
      <c r="L12" s="89">
        <f>K12/SUM(G12+'Nov 19 - Nov 25'!G12+'Nov 26 - Dec 2'!G12)</f>
        <v/>
      </c>
      <c r="M12" s="73" t="n">
        <v>13139.35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166950.1345</v>
      </c>
      <c r="D13" s="73" t="n">
        <v>147431.5</v>
      </c>
      <c r="E13" s="86">
        <f>IFERROR((SUM(F13-D13)/D13),0)</f>
        <v/>
      </c>
      <c r="F13" s="73" t="n">
        <v>150125.5</v>
      </c>
      <c r="G13" s="74" t="n">
        <v>1273</v>
      </c>
      <c r="H13" s="63">
        <f>IFERROR(B13/G13,0)</f>
        <v/>
      </c>
      <c r="I13" s="61" t="n">
        <v>46</v>
      </c>
      <c r="J13" s="28">
        <f>I13/G13</f>
        <v/>
      </c>
      <c r="K13" s="46">
        <f>I13+'Nov 19 - Nov 25'!I13+'Nov 26 - Dec 2'!I13</f>
        <v/>
      </c>
      <c r="L13" s="89">
        <f>K13/SUM(G13+'Nov 19 - Nov 25'!G13+'Nov 26 - Dec 2'!G13)</f>
        <v/>
      </c>
      <c r="M13" s="73" t="n">
        <v>12158.15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335256.901</v>
      </c>
      <c r="D14" s="73" t="n">
        <v>171313.2</v>
      </c>
      <c r="E14" s="86">
        <f>IFERROR((SUM(F14-D14)/D14),0)</f>
        <v/>
      </c>
      <c r="F14" s="73" t="n">
        <v>274465.5</v>
      </c>
      <c r="G14" s="74" t="n">
        <v>2047</v>
      </c>
      <c r="H14" s="63">
        <f>IFERROR(B14/G14,0)</f>
        <v/>
      </c>
      <c r="I14" s="61" t="n">
        <v>45</v>
      </c>
      <c r="J14" s="28">
        <f>I14/G14</f>
        <v/>
      </c>
      <c r="K14" s="46">
        <f>I14+'Nov 19 - Nov 25'!I14+'Nov 26 - Dec 2'!I14</f>
        <v/>
      </c>
      <c r="L14" s="89">
        <f>K14/SUM(G14+'Nov 19 - Nov 25'!G14+'Nov 26 - Dec 2'!G14)</f>
        <v/>
      </c>
      <c r="M14" s="73" t="n">
        <v>8137.9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118654.3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235385.68</v>
      </c>
      <c r="D18" s="73" t="n">
        <v>214615.8</v>
      </c>
      <c r="E18" s="86">
        <f>IFERROR((SUM(F18-D18)/D18),0)</f>
        <v/>
      </c>
      <c r="F18" s="73" t="n">
        <v>271640.7</v>
      </c>
      <c r="G18" s="74" t="n">
        <v>2574</v>
      </c>
      <c r="H18" s="63">
        <f>IFERROR(B18/G18,0)</f>
        <v/>
      </c>
      <c r="I18" s="61" t="n">
        <v>50</v>
      </c>
      <c r="J18" s="28">
        <f>I18/G18</f>
        <v/>
      </c>
      <c r="K18" s="46">
        <f>I18+'Nov 19 - Nov 25'!I18+'Nov 26 - Dec 2'!I18</f>
        <v/>
      </c>
      <c r="L18" s="89">
        <f>K18/SUM(G18+'Nov 19 - Nov 25'!G18+'Nov 26 - Dec 2'!G18)</f>
        <v/>
      </c>
      <c r="M18" s="73" t="n">
        <v>5134.9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184996.337</v>
      </c>
      <c r="D19" s="73" t="n">
        <v>167601.41</v>
      </c>
      <c r="E19" s="86">
        <f>IFERROR((SUM(F19-D19)/D19),0)</f>
        <v/>
      </c>
      <c r="F19" s="73" t="n">
        <v>164090.6</v>
      </c>
      <c r="G19" s="74" t="n">
        <v>1216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</f>
        <v/>
      </c>
      <c r="L19" s="89">
        <f>K19/SUM(G19+'Nov 19 - Nov 25'!G19+'Nov 26 - Dec 2'!G19)</f>
        <v/>
      </c>
      <c r="M19" s="73" t="n">
        <v>6063.15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277689.58</v>
      </c>
      <c r="D20" s="73" t="n"/>
      <c r="E20" s="86">
        <f>IFERROR((SUM(F20-D20)/D20),0)</f>
        <v/>
      </c>
      <c r="F20" s="73" t="n">
        <v>227826.2</v>
      </c>
      <c r="G20" s="74" t="n">
        <v>1464</v>
      </c>
      <c r="H20" s="63">
        <f>IFERROR(B20/G20,0)</f>
        <v/>
      </c>
      <c r="I20" s="74" t="n">
        <v>34</v>
      </c>
      <c r="J20" s="28">
        <f>I20/G20</f>
        <v/>
      </c>
      <c r="K20" s="46">
        <f>I20+'Nov 19 - Nov 25'!I20+'Nov 26 - Dec 2'!I20</f>
        <v/>
      </c>
      <c r="L20" s="89">
        <f>K20/SUM(G20+'Nov 19 - Nov 25'!G20+'Nov 26 - Dec 2'!G20)</f>
        <v/>
      </c>
      <c r="M20" s="73" t="n">
        <v>10601.65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3372188.24</v>
      </c>
      <c r="D4" s="66" t="n">
        <v>2983005.64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368945.875</v>
      </c>
      <c r="D6" s="73" t="n">
        <v>288516.63</v>
      </c>
      <c r="E6" s="86">
        <f>IFERROR((SUM(F6-D6)/D6),0)</f>
        <v/>
      </c>
      <c r="F6" s="73" t="n">
        <v>347035.47</v>
      </c>
      <c r="G6" s="74" t="n">
        <v>2392</v>
      </c>
      <c r="H6" s="63">
        <f>IFERROR(B6/G6,0)</f>
        <v/>
      </c>
      <c r="I6" s="61" t="n">
        <v>72</v>
      </c>
      <c r="J6" s="28">
        <f>I6/G6</f>
        <v/>
      </c>
      <c r="K6" s="46">
        <f>I6+'Nov 19 - Nov 25'!I6+'Nov 26 - Dec 2'!I6+'Dec 3 - Dec 9'!I6</f>
        <v/>
      </c>
      <c r="L6" s="89">
        <f>K6/SUM(G6+'Nov 19 - Nov 25'!G6+'Nov 26 - Dec 2'!G6)</f>
        <v/>
      </c>
      <c r="M6" s="73" t="n">
        <v>13419.6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450138.405</v>
      </c>
      <c r="D7" s="73" t="n">
        <v>391098.82</v>
      </c>
      <c r="E7" s="86">
        <f>IFERROR((SUM(F7-D7)/D7),0)</f>
        <v/>
      </c>
      <c r="F7" s="73" t="n">
        <v>440642.84</v>
      </c>
      <c r="G7" s="74" t="n">
        <v>3437</v>
      </c>
      <c r="H7" s="63">
        <f>IFERROR(B7/G7,0)</f>
        <v/>
      </c>
      <c r="I7" s="61" t="n">
        <v>83</v>
      </c>
      <c r="J7" s="28">
        <f>I7/G7</f>
        <v/>
      </c>
      <c r="K7" s="46">
        <f>I7+'Nov 19 - Nov 25'!I7+'Nov 26 - Dec 2'!I7+'Dec 3 - Dec 9'!I7</f>
        <v/>
      </c>
      <c r="L7" s="89">
        <f>K7/SUM(G7+'Nov 19 - Nov 25'!G7+'Nov 26 - Dec 2'!G7)</f>
        <v/>
      </c>
      <c r="M7" s="73" t="n">
        <v>15538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188753.64</v>
      </c>
      <c r="D8" s="73" t="n">
        <v>115154.21</v>
      </c>
      <c r="E8" s="86">
        <f>IFERROR((SUM(F8-D8)/D8),0)</f>
        <v/>
      </c>
      <c r="F8" s="73" t="n">
        <v>139078.93</v>
      </c>
      <c r="G8" s="74" t="n">
        <v>1144</v>
      </c>
      <c r="H8" s="63">
        <f>IFERROR(B8/G8,0)</f>
        <v/>
      </c>
      <c r="I8" s="61" t="n">
        <v>20</v>
      </c>
      <c r="J8" s="28">
        <f>I8/G8</f>
        <v/>
      </c>
      <c r="K8" s="46">
        <f>I8+'Nov 19 - Nov 25'!I8+'Nov 26 - Dec 2'!I8+'Dec 3 - Dec 9'!I8</f>
        <v/>
      </c>
      <c r="L8" s="89">
        <f>K8/SUM(G8+'Nov 19 - Nov 25'!G8+'Nov 26 - Dec 2'!G8)</f>
        <v/>
      </c>
      <c r="M8" s="73" t="n">
        <v>4298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514976.9</v>
      </c>
      <c r="D9" s="73" t="n">
        <v>380716.39</v>
      </c>
      <c r="E9" s="86">
        <f>IFERROR((SUM(F9-D9)/D9),0)</f>
        <v/>
      </c>
      <c r="F9" s="73" t="n">
        <v>414897.03</v>
      </c>
      <c r="G9" s="74" t="n">
        <v>2900</v>
      </c>
      <c r="H9" s="63">
        <f>IFERROR(B9/G9,0)</f>
        <v/>
      </c>
      <c r="I9" s="61" t="n">
        <v>68</v>
      </c>
      <c r="J9" s="28">
        <f>I9/G9</f>
        <v/>
      </c>
      <c r="K9" s="46">
        <f>I9+'Nov 19 - Nov 25'!I9+'Nov 26 - Dec 2'!I9+'Dec 3 - Dec 9'!I9</f>
        <v/>
      </c>
      <c r="L9" s="89">
        <f>K9/SUM(G9+'Nov 19 - Nov 25'!G9+'Nov 26 - Dec 2'!G9)</f>
        <v/>
      </c>
      <c r="M9" s="73" t="n">
        <v>11189.6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171198.545</v>
      </c>
      <c r="D11" s="73" t="n">
        <v>131449.6</v>
      </c>
      <c r="E11" s="86">
        <f>IFERROR((SUM(F11-D11)/D11),0)</f>
        <v/>
      </c>
      <c r="F11" s="73" t="n">
        <v>131512.71</v>
      </c>
      <c r="G11" s="74" t="n">
        <v>844</v>
      </c>
      <c r="H11" s="63">
        <f>IFERROR(B11/G11,0)</f>
        <v/>
      </c>
      <c r="I11" s="61" t="n">
        <v>32</v>
      </c>
      <c r="J11" s="28">
        <f>I11/G11</f>
        <v/>
      </c>
      <c r="K11" s="46">
        <f>I11+'Nov 19 - Nov 25'!I11+'Nov 26 - Dec 2'!I11+'Dec 3 - Dec 9'!I11</f>
        <v/>
      </c>
      <c r="L11" s="89">
        <f>K11/SUM(G11+'Nov 19 - Nov 25'!G11+'Nov 26 - Dec 2'!G11)</f>
        <v/>
      </c>
      <c r="M11" s="73" t="n">
        <v>6266.8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426804.1</v>
      </c>
      <c r="D12" s="73" t="n">
        <v>360086</v>
      </c>
      <c r="E12" s="86">
        <f>IFERROR((SUM(F12-D12)/D12),0)</f>
        <v/>
      </c>
      <c r="F12" s="73" t="n">
        <v>336899.8</v>
      </c>
      <c r="G12" s="74" t="n">
        <v>2185</v>
      </c>
      <c r="H12" s="63">
        <f>IFERROR(B12/G12,0)</f>
        <v/>
      </c>
      <c r="I12" s="61" t="n">
        <v>51</v>
      </c>
      <c r="J12" s="28">
        <f>I12/G12</f>
        <v/>
      </c>
      <c r="K12" s="46">
        <f>I12+'Nov 19 - Nov 25'!I12+'Nov 26 - Dec 2'!I12+'Dec 3 - Dec 9'!I12</f>
        <v/>
      </c>
      <c r="L12" s="89">
        <f>K12/SUM(G12+'Nov 19 - Nov 25'!G12+'Nov 26 - Dec 2'!G12)</f>
        <v/>
      </c>
      <c r="M12" s="73" t="n">
        <v>13934.75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172644.325</v>
      </c>
      <c r="D13" s="73" t="n">
        <v>129849.23</v>
      </c>
      <c r="E13" s="86">
        <f>IFERROR((SUM(F13-D13)/D13),0)</f>
        <v/>
      </c>
      <c r="F13" s="73" t="n">
        <v>165364.96</v>
      </c>
      <c r="G13" s="74" t="n">
        <v>1363</v>
      </c>
      <c r="H13" s="63">
        <f>IFERROR(B13/G13,0)</f>
        <v/>
      </c>
      <c r="I13" s="61" t="n">
        <v>41</v>
      </c>
      <c r="J13" s="28">
        <f>I13/G13</f>
        <v/>
      </c>
      <c r="K13" s="46">
        <f>I13+'Nov 19 - Nov 25'!I13+'Nov 26 - Dec 2'!I13+'Dec 3 - Dec 9'!I13</f>
        <v/>
      </c>
      <c r="L13" s="89">
        <f>K13/SUM(G13+'Nov 19 - Nov 25'!G13+'Nov 26 - Dec 2'!G13)</f>
        <v/>
      </c>
      <c r="M13" s="73" t="n">
        <v>8658.73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315635.325</v>
      </c>
      <c r="D14" s="73" t="n">
        <v>222361.21</v>
      </c>
      <c r="E14" s="86">
        <f>IFERROR((SUM(F14-D14)/D14),0)</f>
        <v/>
      </c>
      <c r="F14" s="73" t="n">
        <v>249921.32</v>
      </c>
      <c r="G14" s="74" t="n">
        <v>1854</v>
      </c>
      <c r="H14" s="63">
        <f>IFERROR(B14/G14,0)</f>
        <v/>
      </c>
      <c r="I14" s="61" t="n">
        <v>46</v>
      </c>
      <c r="J14" s="28">
        <f>I14/G14</f>
        <v/>
      </c>
      <c r="K14" s="46">
        <f>I14+'Nov 19 - Nov 25'!I14+'Nov 26 - Dec 2'!I14+'Dec 3 - Dec 9'!I14</f>
        <v/>
      </c>
      <c r="L14" s="89">
        <f>K14/SUM(G14+'Nov 19 - Nov 25'!G14+'Nov 26 - Dec 2'!G14)</f>
        <v/>
      </c>
      <c r="M14" s="73" t="n">
        <v>6094.1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148791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312386.805</v>
      </c>
      <c r="D18" s="73" t="n">
        <v>369228</v>
      </c>
      <c r="E18" s="86">
        <f>IFERROR((SUM(F18-D18)/D18),0)</f>
        <v/>
      </c>
      <c r="F18" s="73" t="n">
        <v>413155.48</v>
      </c>
      <c r="G18" s="74" t="n">
        <v>3760</v>
      </c>
      <c r="H18" s="63">
        <f>IFERROR(B18/G18,0)</f>
        <v/>
      </c>
      <c r="I18" s="61" t="n">
        <v>58</v>
      </c>
      <c r="J18" s="28">
        <f>I18/G18</f>
        <v/>
      </c>
      <c r="K18" s="46">
        <f>I18+'Nov 19 - Nov 25'!I18+'Nov 26 - Dec 2'!I18+'Dec 3 - Dec 9'!I18</f>
        <v/>
      </c>
      <c r="L18" s="89">
        <f>K18/SUM(G18+'Nov 19 - Nov 25'!G18+'Nov 26 - Dec 2'!G18)</f>
        <v/>
      </c>
      <c r="M18" s="73" t="n">
        <v>7804.35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188704.19</v>
      </c>
      <c r="D19" s="73" t="n">
        <v>152929.95</v>
      </c>
      <c r="E19" s="86">
        <f>IFERROR((SUM(F19-D19)/D19),0)</f>
        <v/>
      </c>
      <c r="F19" s="73" t="n">
        <v>179982.05</v>
      </c>
      <c r="G19" s="74" t="n">
        <v>1259</v>
      </c>
      <c r="H19" s="63">
        <f>IFERROR(B19/G19,0)</f>
        <v/>
      </c>
      <c r="I19" s="61" t="n">
        <v>32</v>
      </c>
      <c r="J19" s="28">
        <f>I19/G19</f>
        <v/>
      </c>
      <c r="K19" s="46">
        <f>I19+'Nov 19 - Nov 25'!I19+'Nov 26 - Dec 2'!I19+'Dec 3 - Dec 9'!I19</f>
        <v/>
      </c>
      <c r="L19" s="89">
        <f>K19/SUM(G19+'Nov 19 - Nov 25'!G19+'Nov 26 - Dec 2'!G19)</f>
        <v/>
      </c>
      <c r="M19" s="73" t="n">
        <v>6421.5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262000.13</v>
      </c>
      <c r="D20" s="73" t="n">
        <v>292824.6</v>
      </c>
      <c r="E20" s="86">
        <f>IFERROR((SUM(F20-D20)/D20),0)</f>
        <v/>
      </c>
      <c r="F20" s="73" t="n">
        <v>232833.57</v>
      </c>
      <c r="G20" s="74" t="n">
        <v>1605</v>
      </c>
      <c r="H20" s="63">
        <f>IFERROR(B20/G20,0)</f>
        <v/>
      </c>
      <c r="I20" s="74" t="n">
        <v>33</v>
      </c>
      <c r="J20" s="28">
        <f>I20/G20</f>
        <v/>
      </c>
      <c r="K20" s="46">
        <f>I20+'Nov 19 - Nov 25'!I20+'Nov 26 - Dec 2'!I20+'Dec 3 - Dec 9'!I20</f>
        <v/>
      </c>
      <c r="L20" s="89">
        <f>K20/SUM(G20+'Nov 19 - Nov 25'!G20+'Nov 26 - Dec 2'!G20)</f>
        <v/>
      </c>
      <c r="M20" s="73" t="n">
        <v>11827.55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3509022.784</v>
      </c>
      <c r="D4" s="66" t="n">
        <v>2914443.879999999</v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</f>
        <v/>
      </c>
      <c r="L4" s="89">
        <f>K4/SUM(G4+'Nov 19 - Nov 25'!G4+'Nov 26 - Dec 2'!G4)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</f>
        <v/>
      </c>
      <c r="L5" s="89">
        <f>K5/SUM(G5+'Nov 19 - Nov 25'!G5+'Nov 26 - Dec 2'!G5)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399090.7904999999</v>
      </c>
      <c r="D6" s="73" t="n">
        <v>279475.14</v>
      </c>
      <c r="E6" s="86">
        <f>IFERROR((SUM(F6-D6)/D6),0)</f>
        <v/>
      </c>
      <c r="F6" s="73" t="n">
        <v>364522.63</v>
      </c>
      <c r="G6" s="74" t="n">
        <v>2666</v>
      </c>
      <c r="H6" s="63">
        <f>IFERROR(B6/G6,0)</f>
        <v/>
      </c>
      <c r="I6" s="61" t="n">
        <v>59</v>
      </c>
      <c r="J6" s="28">
        <f>I6/G6</f>
        <v/>
      </c>
      <c r="K6" s="46">
        <f>I6+'Nov 19 - Nov 25'!I6+'Nov 26 - Dec 2'!I6+'Dec 3 - Dec 9'!I6+'Dec 10 - Dec 16'!I6</f>
        <v/>
      </c>
      <c r="L6" s="89">
        <f>K6/SUM(G6+'Nov 19 - Nov 25'!G6+'Nov 26 - Dec 2'!G6)</f>
        <v/>
      </c>
      <c r="M6" s="73" t="n">
        <v>10834.6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506739.266</v>
      </c>
      <c r="D7" s="73" t="n">
        <v>412132.74</v>
      </c>
      <c r="E7" s="86">
        <f>IFERROR((SUM(F7-D7)/D7),0)</f>
        <v/>
      </c>
      <c r="F7" s="73" t="n">
        <v>425021.24</v>
      </c>
      <c r="G7" s="74" t="n">
        <v>3273</v>
      </c>
      <c r="H7" s="63">
        <f>IFERROR(B7/G7,0)</f>
        <v/>
      </c>
      <c r="I7" s="61" t="n">
        <v>76</v>
      </c>
      <c r="J7" s="28">
        <f>I7/G7</f>
        <v/>
      </c>
      <c r="K7" s="46">
        <f>I7+'Nov 19 - Nov 25'!I7+'Nov 26 - Dec 2'!I7+'Dec 3 - Dec 9'!I7+'Dec 10 - Dec 16'!I7</f>
        <v/>
      </c>
      <c r="L7" s="89">
        <f>K7/SUM(G7+'Nov 19 - Nov 25'!G7+'Nov 26 - Dec 2'!G7)</f>
        <v/>
      </c>
      <c r="M7" s="73" t="n">
        <v>13864.5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159940.7695</v>
      </c>
      <c r="D8" s="73" t="n">
        <v>93419.36</v>
      </c>
      <c r="E8" s="86">
        <f>IFERROR((SUM(F8-D8)/D8),0)</f>
        <v/>
      </c>
      <c r="F8" s="73" t="n">
        <v>109671.37</v>
      </c>
      <c r="G8" s="74" t="n">
        <v>835</v>
      </c>
      <c r="H8" s="63">
        <f>IFERROR(B8/G8,0)</f>
        <v/>
      </c>
      <c r="I8" s="61" t="n">
        <v>10</v>
      </c>
      <c r="J8" s="28">
        <f>I8/G8</f>
        <v/>
      </c>
      <c r="K8" s="46">
        <f>I8+'Nov 19 - Nov 25'!I8+'Nov 26 - Dec 2'!I8+'Dec 3 - Dec 9'!I8+'Dec 10 - Dec 16'!I8</f>
        <v/>
      </c>
      <c r="L8" s="89">
        <f>K8/SUM(G8+'Nov 19 - Nov 25'!G8+'Nov 26 - Dec 2'!G8)</f>
        <v/>
      </c>
      <c r="M8" s="73" t="n">
        <v>5074.85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477131.5845</v>
      </c>
      <c r="D9" s="73" t="n">
        <v>324548.83</v>
      </c>
      <c r="E9" s="86">
        <f>IFERROR((SUM(F9-D9)/D9),0)</f>
        <v/>
      </c>
      <c r="F9" s="73" t="n">
        <v>351087.57</v>
      </c>
      <c r="G9" s="74" t="n">
        <v>2382</v>
      </c>
      <c r="H9" s="63">
        <f>IFERROR(B9/G9,0)</f>
        <v/>
      </c>
      <c r="I9" s="61" t="n">
        <v>63</v>
      </c>
      <c r="J9" s="28">
        <f>I9/G9</f>
        <v/>
      </c>
      <c r="K9" s="46">
        <f>I9+'Nov 19 - Nov 25'!I9+'Nov 26 - Dec 2'!I9+'Dec 3 - Dec 9'!I9+'Dec 10 - Dec 16'!I9</f>
        <v/>
      </c>
      <c r="L9" s="89">
        <f>K9/SUM(G9+'Nov 19 - Nov 25'!G9+'Nov 26 - Dec 2'!G9)</f>
        <v/>
      </c>
      <c r="M9" s="73" t="n">
        <v>11658.5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</f>
        <v/>
      </c>
      <c r="L10" s="89">
        <f>K10/SUM(G10+'Nov 19 - Nov 25'!G10+'Nov 26 - Dec 2'!G10)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151239.6165</v>
      </c>
      <c r="D11" s="73" t="n">
        <v>84328.89999999999</v>
      </c>
      <c r="E11" s="86">
        <f>IFERROR((SUM(F11-D11)/D11),0)</f>
        <v/>
      </c>
      <c r="F11" s="73" t="n">
        <v>115237.01</v>
      </c>
      <c r="G11" s="74" t="n">
        <v>741</v>
      </c>
      <c r="H11" s="63">
        <f>IFERROR(B11/G11,0)</f>
        <v/>
      </c>
      <c r="I11" s="61" t="n">
        <v>23</v>
      </c>
      <c r="J11" s="28">
        <f>I11/G11</f>
        <v/>
      </c>
      <c r="K11" s="46">
        <f>I11+'Nov 19 - Nov 25'!I11+'Nov 26 - Dec 2'!I11+'Dec 3 - Dec 9'!I11+'Dec 10 - Dec 16'!I11</f>
        <v/>
      </c>
      <c r="L11" s="89">
        <f>K11/SUM(G11+'Nov 19 - Nov 25'!G11+'Nov 26 - Dec 2'!G11)</f>
        <v/>
      </c>
      <c r="M11" s="73" t="n">
        <v>4617.6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387434.77</v>
      </c>
      <c r="D12" s="73" t="n">
        <v>292360.17</v>
      </c>
      <c r="E12" s="86">
        <f>IFERROR((SUM(F12-D12)/D12),0)</f>
        <v/>
      </c>
      <c r="F12" s="73" t="n">
        <v>312544.07</v>
      </c>
      <c r="G12" s="74" t="n">
        <v>2196</v>
      </c>
      <c r="H12" s="63">
        <f>IFERROR(B12/G12,0)</f>
        <v/>
      </c>
      <c r="I12" s="61" t="n">
        <v>46</v>
      </c>
      <c r="J12" s="28">
        <f>I12/G12</f>
        <v/>
      </c>
      <c r="K12" s="46">
        <f>I12+'Nov 19 - Nov 25'!I12+'Nov 26 - Dec 2'!I12+'Dec 3 - Dec 9'!I12+'Dec 10 - Dec 16'!I12</f>
        <v/>
      </c>
      <c r="L12" s="89">
        <f>K12/SUM(G12+'Nov 19 - Nov 25'!G12+'Nov 26 - Dec 2'!G12)</f>
        <v/>
      </c>
      <c r="M12" s="73" t="n">
        <v>19309.21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190169.704</v>
      </c>
      <c r="D13" s="73" t="n">
        <v>128839.67</v>
      </c>
      <c r="E13" s="86">
        <f>IFERROR((SUM(F13-D13)/D13),0)</f>
        <v/>
      </c>
      <c r="F13" s="73" t="n">
        <v>146411.36</v>
      </c>
      <c r="G13" s="74" t="n">
        <v>1166</v>
      </c>
      <c r="H13" s="63">
        <f>IFERROR(B13/G13,0)</f>
        <v/>
      </c>
      <c r="I13" s="61" t="n">
        <v>33</v>
      </c>
      <c r="J13" s="28">
        <f>I13/G13</f>
        <v/>
      </c>
      <c r="K13" s="46">
        <f>I13+'Nov 19 - Nov 25'!I13+'Nov 26 - Dec 2'!I13+'Dec 3 - Dec 9'!I13+'Dec 10 - Dec 16'!I13</f>
        <v/>
      </c>
      <c r="L13" s="89">
        <f>K13/SUM(G13+'Nov 19 - Nov 25'!G13+'Nov 26 - Dec 2'!G13)</f>
        <v/>
      </c>
      <c r="M13" s="73" t="n">
        <v>7343</v>
      </c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287409.518</v>
      </c>
      <c r="D14" s="73" t="n">
        <v>183199.92</v>
      </c>
      <c r="E14" s="86">
        <f>IFERROR((SUM(F14-D14)/D14),0)</f>
        <v/>
      </c>
      <c r="F14" s="73" t="n">
        <v>212746.47</v>
      </c>
      <c r="G14" s="74" t="n">
        <v>1680</v>
      </c>
      <c r="H14" s="63">
        <f>IFERROR(B14/G14,0)</f>
        <v/>
      </c>
      <c r="I14" s="61" t="n">
        <v>34</v>
      </c>
      <c r="J14" s="28">
        <f>I14/G14</f>
        <v/>
      </c>
      <c r="K14" s="46">
        <f>I14+'Nov 19 - Nov 25'!I14+'Nov 26 - Dec 2'!I14+'Dec 3 - Dec 9'!I14+'Dec 10 - Dec 16'!I14</f>
        <v/>
      </c>
      <c r="L14" s="89">
        <f>K14/SUM(G14+'Nov 19 - Nov 25'!G14+'Nov 26 - Dec 2'!G14)</f>
        <v/>
      </c>
      <c r="M14" s="73" t="n">
        <v>5720.9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110006.3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</f>
        <v/>
      </c>
      <c r="L15" s="89">
        <f>K15/SUM(G15+'Nov 19 - Nov 25'!G15+'Nov 26 - Dec 2'!G15)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</f>
        <v/>
      </c>
      <c r="L16" s="89">
        <f>K16/SUM(G16+'Nov 19 - Nov 25'!G16+'Nov 26 - Dec 2'!G16)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</f>
        <v/>
      </c>
      <c r="L17" s="89">
        <f>K17/SUM(G17+'Nov 19 - Nov 25'!G17+'Nov 26 - Dec 2'!G17)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475128.802</v>
      </c>
      <c r="D18" s="73" t="n">
        <v>611913.13</v>
      </c>
      <c r="E18" s="86">
        <f>IFERROR((SUM(F18-D18)/D18),0)</f>
        <v/>
      </c>
      <c r="F18" s="73" t="n">
        <v>735480.34</v>
      </c>
      <c r="G18" s="74" t="n">
        <v>7501</v>
      </c>
      <c r="H18" s="63">
        <f>IFERROR(B18/G18,0)</f>
        <v/>
      </c>
      <c r="I18" s="61" t="n">
        <v>138</v>
      </c>
      <c r="J18" s="28">
        <f>I18/G18</f>
        <v/>
      </c>
      <c r="K18" s="46">
        <f>I18+'Nov 19 - Nov 25'!I18+'Nov 26 - Dec 2'!I18+'Dec 3 - Dec 9'!I18+'Dec 10 - Dec 16'!I18</f>
        <v/>
      </c>
      <c r="L18" s="89">
        <f>K18/SUM(G18+'Nov 19 - Nov 25'!G18+'Nov 26 - Dec 2'!G18)</f>
        <v/>
      </c>
      <c r="M18" s="73" t="n">
        <v>14044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206979.3575</v>
      </c>
      <c r="D19" s="73" t="n">
        <v>118220.82</v>
      </c>
      <c r="E19" s="86">
        <f>IFERROR((SUM(F19-D19)/D19),0)</f>
        <v/>
      </c>
      <c r="F19" s="73" t="n">
        <v>129028.04</v>
      </c>
      <c r="G19" s="74" t="n">
        <v>1011</v>
      </c>
      <c r="H19" s="63">
        <f>IFERROR(B19/G19,0)</f>
        <v/>
      </c>
      <c r="I19" s="61" t="n">
        <v>21</v>
      </c>
      <c r="J19" s="28">
        <f>I19/G19</f>
        <v/>
      </c>
      <c r="K19" s="46">
        <f>I19+'Nov 19 - Nov 25'!I19+'Nov 26 - Dec 2'!I19+'Dec 3 - Dec 9'!I19+'Dec 10 - Dec 16'!I19</f>
        <v/>
      </c>
      <c r="L19" s="89">
        <f>K19/SUM(G19+'Nov 19 - Nov 25'!G19+'Nov 26 - Dec 2'!G19)</f>
        <v/>
      </c>
      <c r="M19" s="73" t="n">
        <v>5445.9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267758.6055</v>
      </c>
      <c r="D20" s="73" t="n">
        <v>275998.9</v>
      </c>
      <c r="E20" s="86">
        <f>IFERROR((SUM(F20-D20)/D20),0)</f>
        <v/>
      </c>
      <c r="F20" s="73" t="n">
        <v>230910.65</v>
      </c>
      <c r="G20" s="74" t="n">
        <v>1467</v>
      </c>
      <c r="H20" s="63">
        <f>IFERROR(B20/G20,0)</f>
        <v/>
      </c>
      <c r="I20" s="74" t="n">
        <v>40</v>
      </c>
      <c r="J20" s="28">
        <f>I20/G20</f>
        <v/>
      </c>
      <c r="K20" s="46">
        <f>I20+'Nov 19 - Nov 25'!I20+'Nov 26 - Dec 2'!I20+'Dec 3 - Dec 9'!I20+'Dec 10 - Dec 16'!I20</f>
        <v/>
      </c>
      <c r="L20" s="89">
        <f>K20/SUM(G20+'Nov 19 - Nov 25'!G20+'Nov 26 - Dec 2'!G20)</f>
        <v/>
      </c>
      <c r="M20" s="73" t="n">
        <v>11742.23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SUM(B6:B20)</f>
        <v/>
      </c>
      <c r="C4" s="3" t="n">
        <v>3602559.8625</v>
      </c>
      <c r="D4" s="66">
        <f>SUM(D6:D20)</f>
        <v/>
      </c>
      <c r="E4" s="90">
        <f>IFERROR((SUM(F4-D4)/D4),0)</f>
        <v/>
      </c>
      <c r="F4" s="66">
        <f>SUM(F6:F20)</f>
        <v/>
      </c>
      <c r="G4" s="62">
        <f>SUM(G6:G20)</f>
        <v/>
      </c>
      <c r="H4" s="85">
        <f>AVERAGE(H5:H20)</f>
        <v/>
      </c>
      <c r="I4" s="88">
        <f>SUM(I6:I20)</f>
        <v/>
      </c>
      <c r="J4" s="28">
        <f>I4/G4</f>
        <v/>
      </c>
      <c r="K4" s="46">
        <f>I4+'Nov 19 - Nov 25'!I4+'Nov 26 - Dec 2'!I4+'Dec 3 - Dec 9'!I4+'Dec 10 - Dec 16'!I4+'Dec 17 - Dec 23'!I4</f>
        <v/>
      </c>
      <c r="L4" s="89">
        <f>K4/SUM(G4+'Nov 19 - Nov 25'!G4+'Nov 26 - Dec 2'!G4+'Dec 3 - Dec 9'!G4+'Dec 10 - Dec 16'!G4+'Dec 17 - Dec 23'!G4)</f>
        <v/>
      </c>
      <c r="M4" s="66">
        <f>SUM(M6:M20)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I5/G5</f>
        <v/>
      </c>
      <c r="K5" s="46">
        <f>I5+'Nov 19 - Nov 25'!I5+'Nov 26 - Dec 2'!I5+'Dec 3 - Dec 9'!I5+'Dec 10 - Dec 16'!I5+'Dec 17 - Dec 23'!I5</f>
        <v/>
      </c>
      <c r="L5" s="89">
        <f>K5/SUM(G5+'Nov 19 - Nov 25'!G5+'Nov 26 - Dec 2'!G5+'Dec 3 - Dec 9'!G5+'Dec 10 - Dec 16'!G5+'Dec 17 - Dec 23'!G5)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419201.0245</v>
      </c>
      <c r="D6" s="73" t="n">
        <v>268379.66</v>
      </c>
      <c r="E6" s="86">
        <f>IFERROR((SUM(F6-D6)/D6),0)</f>
        <v/>
      </c>
      <c r="F6" s="73" t="n">
        <v>315787.5</v>
      </c>
      <c r="G6" s="74" t="n">
        <v>2388</v>
      </c>
      <c r="H6" s="63">
        <f>IFERROR(B6/G6,0)</f>
        <v/>
      </c>
      <c r="I6" s="61" t="n"/>
      <c r="J6" s="28">
        <f>I6/G6</f>
        <v/>
      </c>
      <c r="K6" s="46">
        <f>I6+'Nov 19 - Nov 25'!I6+'Nov 26 - Dec 2'!I6+'Dec 3 - Dec 9'!I6+'Dec 10 - Dec 16'!I6+'Dec 17 - Dec 23'!I6</f>
        <v/>
      </c>
      <c r="L6" s="89">
        <f>K6/SUM(G6+'Nov 19 - Nov 25'!G6+'Nov 26 - Dec 2'!G6+'Dec 3 - Dec 9'!G6+'Dec 10 - Dec 16'!G6+'Dec 17 - Dec 23'!G6)</f>
        <v/>
      </c>
      <c r="M6" s="73" t="n">
        <v>8336.299999999999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488774.426</v>
      </c>
      <c r="D7" s="73" t="n">
        <v>247039.76</v>
      </c>
      <c r="E7" s="86">
        <f>IFERROR((SUM(F7-D7)/D7),0)</f>
        <v/>
      </c>
      <c r="F7" s="73" t="n">
        <v>195208.5</v>
      </c>
      <c r="G7" s="74" t="n">
        <v>2015</v>
      </c>
      <c r="H7" s="63">
        <f>IFERROR(B7/G7,0)</f>
        <v/>
      </c>
      <c r="I7" s="61" t="n"/>
      <c r="J7" s="28">
        <f>I7/G7</f>
        <v/>
      </c>
      <c r="K7" s="46">
        <f>I7+'Nov 19 - Nov 25'!I7+'Nov 26 - Dec 2'!I7+'Dec 3 - Dec 9'!I7+'Dec 10 - Dec 16'!I7+'Dec 17 - Dec 23'!I7</f>
        <v/>
      </c>
      <c r="L7" s="89">
        <f>K7/SUM(G7+'Nov 19 - Nov 25'!G7+'Nov 26 - Dec 2'!G7+'Dec 3 - Dec 9'!G7+'Dec 10 - Dec 16'!G7+'Dec 17 - Dec 23'!G7)</f>
        <v/>
      </c>
      <c r="M7" s="73" t="n">
        <v>8908.700000000001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126122.0755</v>
      </c>
      <c r="D8" s="73" t="n">
        <v>50611.88</v>
      </c>
      <c r="E8" s="86">
        <f>IFERROR((SUM(F8-D8)/D8),0)</f>
        <v/>
      </c>
      <c r="F8" s="73" t="n">
        <v>67639.25999999999</v>
      </c>
      <c r="G8" s="74" t="n">
        <v>424</v>
      </c>
      <c r="H8" s="63">
        <f>IFERROR(B8/G8,0)</f>
        <v/>
      </c>
      <c r="I8" s="61" t="n"/>
      <c r="J8" s="28">
        <f>I8/G8</f>
        <v/>
      </c>
      <c r="K8" s="46">
        <f>I8+'Nov 19 - Nov 25'!I8+'Nov 26 - Dec 2'!I8+'Dec 3 - Dec 9'!I8+'Dec 10 - Dec 16'!I8+'Dec 17 - Dec 23'!I8</f>
        <v/>
      </c>
      <c r="L8" s="89">
        <f>K8/SUM(G8+'Nov 19 - Nov 25'!G8+'Nov 26 - Dec 2'!G8+'Dec 3 - Dec 9'!G8+'Dec 10 - Dec 16'!G8+'Dec 17 - Dec 23'!G8)</f>
        <v/>
      </c>
      <c r="M8" s="73" t="n">
        <v>2523.6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403750.7055</v>
      </c>
      <c r="D9" s="73" t="n">
        <v>232083.31</v>
      </c>
      <c r="E9" s="86">
        <f>IFERROR((SUM(F9-D9)/D9),0)</f>
        <v/>
      </c>
      <c r="F9" s="73" t="n">
        <v>251347.9</v>
      </c>
      <c r="G9" s="74" t="n">
        <v>1929</v>
      </c>
      <c r="H9" s="63">
        <f>IFERROR(B9/G9,0)</f>
        <v/>
      </c>
      <c r="I9" s="61" t="n"/>
      <c r="J9" s="28">
        <f>I9/G9</f>
        <v/>
      </c>
      <c r="K9" s="46">
        <f>I9+'Nov 19 - Nov 25'!I9+'Nov 26 - Dec 2'!I9+'Dec 3 - Dec 9'!I9+'Dec 10 - Dec 16'!I9+'Dec 17 - Dec 23'!I9</f>
        <v/>
      </c>
      <c r="L9" s="89">
        <f>K9/SUM(G9+'Nov 19 - Nov 25'!G9+'Nov 26 - Dec 2'!G9+'Dec 3 - Dec 9'!G9+'Dec 10 - Dec 16'!G9+'Dec 17 - Dec 23'!G9)</f>
        <v/>
      </c>
      <c r="M9" s="73" t="n">
        <v>11633</v>
      </c>
      <c r="N9" s="26" t="n"/>
      <c r="O9" s="9" t="n"/>
      <c r="P9" s="9" t="n"/>
    </row>
    <row r="10" hidden="1" ht="15.6" customHeight="1">
      <c r="A10" s="39" t="inlineStr">
        <is>
          <t>The Wedge</t>
        </is>
      </c>
      <c r="B10" s="18">
        <f>F10*1.15</f>
        <v/>
      </c>
      <c r="C10" s="18" t="n">
        <v>0</v>
      </c>
      <c r="D10" s="73" t="n"/>
      <c r="E10" s="86">
        <f>IFERROR((SUM(F10-D10)/D10),0)</f>
        <v/>
      </c>
      <c r="F10" s="73" t="n"/>
      <c r="G10" s="74" t="n"/>
      <c r="H10" s="63">
        <f>IFERROR(B10/G10,0)</f>
        <v/>
      </c>
      <c r="I10" s="61" t="n"/>
      <c r="J10" s="28">
        <f>I10/G10</f>
        <v/>
      </c>
      <c r="K10" s="46">
        <f>I10+'Nov 19 - Nov 25'!I10+'Nov 26 - Dec 2'!I10+'Dec 3 - Dec 9'!I10+'Dec 10 - Dec 16'!I10+'Dec 17 - Dec 23'!I10</f>
        <v/>
      </c>
      <c r="L10" s="89">
        <f>K10/SUM(G10+'Nov 19 - Nov 25'!G10+'Nov 26 - Dec 2'!G10+'Dec 3 - Dec 9'!G10+'Dec 10 - Dec 16'!G10+'Dec 17 - Dec 23'!G10)</f>
        <v/>
      </c>
      <c r="M10" s="73" t="n"/>
      <c r="N10" s="26" t="n"/>
      <c r="O10" s="9" t="n"/>
      <c r="P10" s="9" t="n"/>
    </row>
    <row r="11" ht="15.6" customHeight="1">
      <c r="A11" s="39" t="inlineStr">
        <is>
          <t xml:space="preserve">Waterkloof </t>
        </is>
      </c>
      <c r="B11" s="18">
        <f>F11*1.15</f>
        <v/>
      </c>
      <c r="C11" s="18" t="n">
        <v>132522.5615</v>
      </c>
      <c r="D11" s="73" t="n">
        <v>100241.89</v>
      </c>
      <c r="E11" s="86">
        <f>IFERROR((SUM(F11-D11)/D11),0)</f>
        <v/>
      </c>
      <c r="F11" s="73" t="n">
        <v>87101.46000000001</v>
      </c>
      <c r="G11" s="74" t="n">
        <v>568</v>
      </c>
      <c r="H11" s="63">
        <f>IFERROR(B11/G11,0)</f>
        <v/>
      </c>
      <c r="I11" s="61" t="n"/>
      <c r="J11" s="28">
        <f>I11/G11</f>
        <v/>
      </c>
      <c r="K11" s="46">
        <f>I11+'Nov 19 - Nov 25'!I11+'Nov 26 - Dec 2'!I11+'Dec 3 - Dec 9'!I11+'Dec 10 - Dec 16'!I11+'Dec 17 - Dec 23'!I11</f>
        <v/>
      </c>
      <c r="L11" s="89">
        <f>K11/SUM(G11+'Nov 19 - Nov 25'!G11+'Nov 26 - Dec 2'!G11+'Dec 3 - Dec 9'!G11+'Dec 10 - Dec 16'!G11+'Dec 17 - Dec 23'!G11)</f>
        <v/>
      </c>
      <c r="M11" s="73" t="n">
        <v>3355.8</v>
      </c>
      <c r="N11" s="26" t="n"/>
      <c r="O11" s="9" t="n"/>
      <c r="P11" s="9" t="n"/>
    </row>
    <row r="12" ht="15.6" customHeight="1">
      <c r="A12" s="39" t="inlineStr">
        <is>
          <t>Eagles Landing</t>
        </is>
      </c>
      <c r="B12" s="18">
        <f>F12*1.15</f>
        <v/>
      </c>
      <c r="C12" s="18" t="n">
        <v>359425.6805</v>
      </c>
      <c r="D12" s="73" t="n">
        <v>243609.74</v>
      </c>
      <c r="E12" s="86">
        <f>IFERROR((SUM(F12-D12)/D12),0)</f>
        <v/>
      </c>
      <c r="F12" s="73" t="n">
        <v>231448.7</v>
      </c>
      <c r="G12" s="74" t="n">
        <v>2092</v>
      </c>
      <c r="H12" s="63">
        <f>IFERROR(B12/G12,0)</f>
        <v/>
      </c>
      <c r="I12" s="61" t="n"/>
      <c r="J12" s="28">
        <f>I12/G12</f>
        <v/>
      </c>
      <c r="K12" s="46">
        <f>I12+'Nov 19 - Nov 25'!I12+'Nov 26 - Dec 2'!I12+'Dec 3 - Dec 9'!I12+'Dec 10 - Dec 16'!I12+'Dec 17 - Dec 23'!I12</f>
        <v/>
      </c>
      <c r="L12" s="89">
        <f>K12/SUM(G12+'Nov 19 - Nov 25'!G12+'Nov 26 - Dec 2'!G12+'Dec 3 - Dec 9'!G12+'Dec 10 - Dec 16'!G12+'Dec 17 - Dec 23'!G12)</f>
        <v/>
      </c>
      <c r="M12" s="73" t="n">
        <v>13805.45</v>
      </c>
      <c r="N12" s="26" t="n"/>
      <c r="O12" s="9" t="n"/>
      <c r="P12" s="9" t="n"/>
    </row>
    <row r="13" ht="15.6" customHeight="1">
      <c r="A13" s="40" t="inlineStr">
        <is>
          <t>Stellenbosch</t>
        </is>
      </c>
      <c r="B13" s="18">
        <f>F13*1.15</f>
        <v/>
      </c>
      <c r="C13" s="18" t="n">
        <v>168373.064</v>
      </c>
      <c r="D13" s="73" t="n">
        <v>105293.6</v>
      </c>
      <c r="E13" s="86">
        <f>IFERROR((SUM(F13-D13)/D13),0)</f>
        <v/>
      </c>
      <c r="F13" s="73" t="n"/>
      <c r="G13" s="74" t="n"/>
      <c r="H13" s="63">
        <f>IFERROR(B13/G13,0)</f>
        <v/>
      </c>
      <c r="I13" s="61" t="n"/>
      <c r="J13" s="28">
        <f>I13/G13</f>
        <v/>
      </c>
      <c r="K13" s="46">
        <f>I13+'Nov 19 - Nov 25'!I13+'Nov 26 - Dec 2'!I13+'Dec 3 - Dec 9'!I13+'Dec 10 - Dec 16'!I13+'Dec 17 - Dec 23'!I13</f>
        <v/>
      </c>
      <c r="L13" s="89">
        <f>K13/SUM(G13+'Nov 19 - Nov 25'!G13+'Nov 26 - Dec 2'!G13+'Dec 3 - Dec 9'!G13+'Dec 10 - Dec 16'!G13+'Dec 17 - Dec 23'!G13)</f>
        <v/>
      </c>
      <c r="M13" s="73" t="n"/>
      <c r="N13" s="26" t="n"/>
      <c r="O13" s="9" t="n"/>
      <c r="P13" s="9" t="n"/>
    </row>
    <row r="14" ht="15.6" customHeight="1">
      <c r="A14" s="40" t="inlineStr">
        <is>
          <t>Lynnwood</t>
        </is>
      </c>
      <c r="B14" s="18">
        <f>F14*1.15</f>
        <v/>
      </c>
      <c r="C14" s="18" t="n">
        <v>244658.4405</v>
      </c>
      <c r="D14" s="73" t="n">
        <v>137786.37</v>
      </c>
      <c r="E14" s="86">
        <f>IFERROR((SUM(F14-D14)/D14),0)</f>
        <v/>
      </c>
      <c r="F14" s="73" t="n">
        <v>149304.7</v>
      </c>
      <c r="G14" s="74" t="n">
        <v>1138</v>
      </c>
      <c r="H14" s="63">
        <f>IFERROR(B14/G14,0)</f>
        <v/>
      </c>
      <c r="I14" s="61" t="n"/>
      <c r="J14" s="28">
        <f>I14/G14</f>
        <v/>
      </c>
      <c r="K14" s="46">
        <f>I14+'Nov 19 - Nov 25'!I14+'Nov 26 - Dec 2'!I14+'Dec 3 - Dec 9'!I14+'Dec 10 - Dec 16'!I14+'Dec 17 - Dec 23'!I14</f>
        <v/>
      </c>
      <c r="L14" s="89">
        <f>K14/SUM(G14+'Nov 19 - Nov 25'!G14+'Nov 26 - Dec 2'!G14+'Dec 3 - Dec 9'!G14+'Dec 10 - Dec 16'!G14+'Dec 17 - Dec 23'!G14)</f>
        <v/>
      </c>
      <c r="M14" s="73" t="n">
        <v>6919.2</v>
      </c>
      <c r="N14" s="26" t="n"/>
      <c r="O14" s="9" t="n"/>
      <c r="P14" s="9" t="n"/>
    </row>
    <row r="15" ht="15.6" customHeight="1">
      <c r="A15" s="40" t="inlineStr">
        <is>
          <t>Wellington</t>
        </is>
      </c>
      <c r="B15" s="18">
        <f>F15*1.15</f>
        <v/>
      </c>
      <c r="C15" s="18" t="n">
        <v>0</v>
      </c>
      <c r="D15" s="73" t="n">
        <v>171612.08</v>
      </c>
      <c r="E15" s="86">
        <f>IFERROR((SUM(F15-D15)/D15),0)</f>
        <v/>
      </c>
      <c r="F15" s="73" t="n"/>
      <c r="G15" s="74" t="n"/>
      <c r="H15" s="63">
        <f>IFERROR(B15/G15,0)</f>
        <v/>
      </c>
      <c r="I15" s="61" t="n"/>
      <c r="J15" s="28">
        <f>I15/G15</f>
        <v/>
      </c>
      <c r="K15" s="46">
        <f>I15+'Nov 19 - Nov 25'!I15+'Nov 26 - Dec 2'!I15+'Dec 3 - Dec 9'!I15+'Dec 10 - Dec 16'!I15+'Dec 17 - Dec 23'!I15</f>
        <v/>
      </c>
      <c r="L15" s="89">
        <f>K15/SUM(G15+'Nov 19 - Nov 25'!G15+'Nov 26 - Dec 2'!G15+'Dec 3 - Dec 9'!G15+'Dec 10 - Dec 16'!G15+'Dec 17 - Dec 23'!G15)</f>
        <v/>
      </c>
      <c r="M15" s="73" t="n"/>
      <c r="N15" s="26" t="n"/>
      <c r="O15" s="9" t="n"/>
      <c r="P15" s="9" t="n"/>
    </row>
    <row r="16" hidden="1" ht="15.6" customHeight="1">
      <c r="A16" s="19" t="n"/>
      <c r="B16" s="18">
        <f>F16*1.15</f>
        <v/>
      </c>
      <c r="C16" s="87" t="n">
        <v>0</v>
      </c>
      <c r="D16" s="32" t="n"/>
      <c r="E16" s="86">
        <f>IFERROR((SUM(F16-D16)/D16),0)</f>
        <v/>
      </c>
      <c r="F16" s="32" t="n"/>
      <c r="G16" s="61" t="n"/>
      <c r="H16" s="63" t="n"/>
      <c r="I16" s="61" t="n"/>
      <c r="J16" s="28">
        <f>I16/G16</f>
        <v/>
      </c>
      <c r="K16" s="46">
        <f>I16+'Nov 19 - Nov 25'!I16+'Nov 26 - Dec 2'!I16+'Dec 3 - Dec 9'!I16+'Dec 10 - Dec 16'!I16+'Dec 17 - Dec 23'!I16</f>
        <v/>
      </c>
      <c r="L16" s="89">
        <f>K16/SUM(G16+'Nov 19 - Nov 25'!G16+'Nov 26 - Dec 2'!G16+'Dec 3 - Dec 9'!G16+'Dec 10 - Dec 16'!G16+'Dec 17 - Dec 23'!G16)</f>
        <v/>
      </c>
      <c r="M16" s="64" t="n"/>
      <c r="N16" s="26" t="n"/>
      <c r="O16" s="9" t="n"/>
      <c r="P16" s="9" t="n"/>
    </row>
    <row r="17" hidden="1" ht="15.6" customHeight="1">
      <c r="A17" s="12" t="n"/>
      <c r="B17" s="18">
        <f>F17*1.15</f>
        <v/>
      </c>
      <c r="C17" s="75" t="n">
        <v>0</v>
      </c>
      <c r="D17" s="32" t="n"/>
      <c r="E17" s="86">
        <f>IFERROR((SUM(F17-D17)/D17),0)</f>
        <v/>
      </c>
      <c r="F17" s="32" t="n"/>
      <c r="G17" s="61" t="n"/>
      <c r="H17" s="63">
        <f>IFERROR(D17/G17,0)</f>
        <v/>
      </c>
      <c r="I17" s="74" t="n"/>
      <c r="J17" s="28">
        <f>I17/G17</f>
        <v/>
      </c>
      <c r="K17" s="46">
        <f>I17+'Nov 19 - Nov 25'!I17+'Nov 26 - Dec 2'!I17+'Dec 3 - Dec 9'!I17+'Dec 10 - Dec 16'!I17+'Dec 17 - Dec 23'!I17</f>
        <v/>
      </c>
      <c r="L17" s="89">
        <f>K17/SUM(G17+'Nov 19 - Nov 25'!G17+'Nov 26 - Dec 2'!G17+'Dec 3 - Dec 9'!G17+'Dec 10 - Dec 16'!G17+'Dec 17 - Dec 23'!G17)</f>
        <v/>
      </c>
      <c r="M17" s="64" t="n"/>
      <c r="N17" s="22" t="n"/>
    </row>
    <row r="18" ht="15.6" customHeight="1">
      <c r="A18" s="40" t="inlineStr">
        <is>
          <t>Hartenbos</t>
        </is>
      </c>
      <c r="B18" s="18">
        <f>F18*1.15</f>
        <v/>
      </c>
      <c r="C18" s="18" t="n">
        <v>845802.3909999999</v>
      </c>
      <c r="D18" s="73" t="n">
        <v>703760.14</v>
      </c>
      <c r="E18" s="86">
        <f>IFERROR((SUM(F18-D18)/D18),0)</f>
        <v/>
      </c>
      <c r="F18" s="73" t="n">
        <v>849629.2</v>
      </c>
      <c r="G18" s="74" t="n">
        <v>7379</v>
      </c>
      <c r="H18" s="63">
        <f>IFERROR(B18/G18,0)</f>
        <v/>
      </c>
      <c r="I18" s="61" t="n"/>
      <c r="J18" s="28">
        <f>I18/G18</f>
        <v/>
      </c>
      <c r="K18" s="46">
        <f>I18+'Nov 19 - Nov 25'!I18+'Nov 26 - Dec 2'!I18+'Dec 3 - Dec 9'!I18+'Dec 10 - Dec 16'!I18+'Dec 17 - Dec 23'!I18</f>
        <v/>
      </c>
      <c r="L18" s="89">
        <f>K18/SUM(G18+'Nov 19 - Nov 25'!G18+'Nov 26 - Dec 2'!G18+'Dec 3 - Dec 9'!G18+'Dec 10 - Dec 16'!G18+'Dec 17 - Dec 23'!G18)</f>
        <v/>
      </c>
      <c r="M18" s="73" t="n">
        <v>26076.9</v>
      </c>
      <c r="N18" s="9" t="n"/>
    </row>
    <row r="19" ht="15.6" customHeight="1">
      <c r="A19" s="40" t="inlineStr">
        <is>
          <t>Kyalami Corner</t>
        </is>
      </c>
      <c r="B19" s="18">
        <f>F19*1.15</f>
        <v/>
      </c>
      <c r="C19" s="18" t="n">
        <v>148382.246</v>
      </c>
      <c r="D19" s="73" t="n">
        <v>90692.88</v>
      </c>
      <c r="E19" s="86">
        <f>IFERROR((SUM(F19-D19)/D19),0)</f>
        <v/>
      </c>
      <c r="F19" s="73" t="n">
        <v>88647.83</v>
      </c>
      <c r="G19" s="74" t="n">
        <v>663</v>
      </c>
      <c r="H19" s="63">
        <f>IFERROR(B19/G19,0)</f>
        <v/>
      </c>
      <c r="I19" s="61" t="n"/>
      <c r="J19" s="28">
        <f>I19/G19</f>
        <v/>
      </c>
      <c r="K19" s="46">
        <f>I19+'Nov 19 - Nov 25'!I19+'Nov 26 - Dec 2'!I19+'Dec 3 - Dec 9'!I19+'Dec 10 - Dec 16'!I19+'Dec 17 - Dec 23'!I19</f>
        <v/>
      </c>
      <c r="L19" s="89">
        <f>K19/SUM(G19+'Nov 19 - Nov 25'!G19+'Nov 26 - Dec 2'!G19+'Dec 3 - Dec 9'!G19+'Dec 10 - Dec 16'!G19+'Dec 17 - Dec 23'!G19)</f>
        <v/>
      </c>
      <c r="M19" s="73" t="n">
        <v>5776.7</v>
      </c>
      <c r="N19" s="9" t="n"/>
    </row>
    <row r="20" ht="15.6" customHeight="1">
      <c r="A20" s="40" t="inlineStr">
        <is>
          <t>Paulshof</t>
        </is>
      </c>
      <c r="B20" s="18">
        <f>F20*1.15</f>
        <v/>
      </c>
      <c r="C20" s="18" t="n">
        <v>265547.2475</v>
      </c>
      <c r="D20" s="79" t="n">
        <v>154696.75</v>
      </c>
      <c r="E20" s="86">
        <f>IFERROR((SUM(F20-D20)/D20),0)</f>
        <v/>
      </c>
      <c r="F20" s="73" t="n">
        <v>113962.7</v>
      </c>
      <c r="G20" s="74" t="n">
        <v>730</v>
      </c>
      <c r="H20" s="63">
        <f>IFERROR(B20/G20,0)</f>
        <v/>
      </c>
      <c r="I20" s="74" t="n"/>
      <c r="J20" s="28">
        <f>I20/G20</f>
        <v/>
      </c>
      <c r="K20" s="46">
        <f>I20+'Nov 19 - Nov 25'!I20+'Nov 26 - Dec 2'!I20+'Dec 3 - Dec 9'!I20+'Dec 10 - Dec 16'!I20+'Dec 17 - Dec 23'!I20</f>
        <v/>
      </c>
      <c r="L20" s="89">
        <f>K20/SUM(G20+'Nov 19 - Nov 25'!G20+'Nov 26 - Dec 2'!G20+'Dec 3 - Dec 9'!G20+'Dec 10 - Dec 16'!G20+'Dec 17 - Dec 23'!G20)</f>
        <v/>
      </c>
      <c r="M20" s="73" t="n">
        <v>6476.6</v>
      </c>
      <c r="N20" s="9" t="n"/>
    </row>
    <row r="21">
      <c r="A21" s="81" t="n"/>
      <c r="B21" s="81" t="n"/>
      <c r="C21" s="81" t="n"/>
      <c r="D21" s="81" t="n"/>
      <c r="E21" s="81" t="n"/>
      <c r="F21" s="395" t="n"/>
      <c r="G21" s="396" t="n"/>
      <c r="H21" s="397" t="n"/>
      <c r="I21" s="91" t="inlineStr">
        <is>
          <t>.</t>
        </is>
      </c>
      <c r="J21" s="397" t="n"/>
      <c r="K21" s="397" t="n"/>
      <c r="L21" s="397" t="n"/>
      <c r="M21" s="397" t="n"/>
      <c r="N21" s="9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  <c r="N22" s="9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  <c r="N23" s="9" t="n"/>
    </row>
    <row r="24" ht="15" customHeight="1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27" t="n"/>
      <c r="N24" s="9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  <c r="N25" s="9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  <c r="N26" s="9" t="n"/>
    </row>
    <row r="27">
      <c r="A27" s="81" t="n"/>
      <c r="B27" s="81" t="n"/>
      <c r="C27" s="81" t="n"/>
      <c r="D27" s="81" t="n"/>
      <c r="E27" s="81" t="n"/>
      <c r="F27" s="83" t="n"/>
      <c r="G27" s="82" t="n"/>
      <c r="H27" s="81" t="n"/>
      <c r="I27" s="81" t="n"/>
      <c r="J27" s="81" t="n"/>
      <c r="K27" s="81" t="n"/>
      <c r="L27" s="81" t="n"/>
      <c r="M27" s="81" t="n"/>
      <c r="N27" s="9" t="n"/>
    </row>
    <row r="28">
      <c r="A28" s="81" t="n"/>
      <c r="B28" s="81" t="n"/>
      <c r="C28" s="81" t="n"/>
      <c r="D28" s="81" t="n"/>
      <c r="E28" s="81" t="n"/>
      <c r="F28" s="83" t="n"/>
      <c r="G28" s="82" t="n"/>
      <c r="H28" s="81" t="n"/>
      <c r="I28" s="81" t="n"/>
      <c r="J28" s="81" t="n"/>
      <c r="K28" s="81" t="n"/>
      <c r="L28" s="81" t="n"/>
      <c r="M28" s="81" t="n"/>
      <c r="N28" s="9" t="n"/>
    </row>
    <row r="29">
      <c r="A29" s="81" t="n"/>
      <c r="B29" s="81" t="n"/>
      <c r="C29" s="81" t="n"/>
      <c r="D29" s="81" t="n"/>
      <c r="E29" s="81" t="n"/>
      <c r="F29" s="83" t="n"/>
      <c r="G29" s="82" t="n"/>
      <c r="H29" s="81" t="n"/>
      <c r="I29" s="81" t="n"/>
      <c r="J29" s="81" t="n"/>
      <c r="K29" s="81" t="n"/>
      <c r="L29" s="81" t="n"/>
      <c r="M29" s="81" t="n"/>
      <c r="N29" s="9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2.5546875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0" t="inlineStr">
        <is>
          <t>PROMO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I4/G4</f>
        <v/>
      </c>
      <c r="K4" s="46">
        <f>I4+'Nov 19 - Nov 25'!I4+'Nov 26 - Dec 2'!I4+'Dec 3 - Dec 9'!I4+'Dec 10 - Dec 16'!I4+'Dec 17 - Dec 23'!I4+'Dec 24 - Dec 30'!I4</f>
        <v/>
      </c>
      <c r="L4" s="89">
        <f>K4/SUM(G4+'Nov 19 - Nov 25'!G4+'Nov 26 - Dec 2'!G4+'Dec 3 - Dec 9'!G4+'Dec 10 - Dec 16'!G4+'Dec 17 - Dec 23'!G4+'Dec 24 - Dec 30'!G4)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88">
        <f>SUM(I7:I18)</f>
        <v/>
      </c>
      <c r="J5" s="28">
        <f>I5/G5</f>
        <v/>
      </c>
      <c r="K5" s="46">
        <f>I5+'Nov 19 - Nov 25'!I5+'Nov 26 - Dec 2'!I5+'Dec 3 - Dec 9'!I5+'Dec 10 - Dec 16'!I5+'Dec 17 - Dec 23'!I5+'Dec 24 - Dec 30'!I5</f>
        <v/>
      </c>
      <c r="L5" s="89">
        <f>K5/SUM(G5+'Nov 19 - Nov 25'!G5+'Nov 26 - Dec 2'!G5+'Dec 3 - Dec 9'!G5+'Dec 10 - Dec 16'!G5+'Dec 17 - Dec 23'!G5+'Dec 24 - Dec 30'!G5)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325096.33</v>
      </c>
      <c r="D6" s="73">
        <f>VLOOKUP(A6,'Jan 1 - Jan 7'!A:M,2,FALSE)</f>
        <v/>
      </c>
      <c r="E6" s="86">
        <f>IFERROR((SUM(F6-D6)/D6),0)</f>
        <v/>
      </c>
      <c r="F6" s="73" t="n">
        <v>325096.33</v>
      </c>
      <c r="G6" s="74" t="n">
        <v>2406</v>
      </c>
      <c r="H6" s="63">
        <f>IFERROR(B6/G6,0)</f>
        <v/>
      </c>
      <c r="I6" s="61" t="n">
        <v>4</v>
      </c>
      <c r="J6" s="28">
        <f>I6/G6</f>
        <v/>
      </c>
      <c r="K6" s="46">
        <f>I6+'Nov 19 - Nov 25'!I6+'Nov 26 - Dec 2'!I6+'Dec 3 - Dec 9'!I6+'Dec 10 - Dec 16'!I6+'Dec 17 - Dec 23'!I6+'Dec 24 - Dec 30'!I6</f>
        <v/>
      </c>
      <c r="L6" s="89">
        <f>K6/SUM(G6+'Nov 19 - Nov 25'!G6+'Nov 26 - Dec 2'!G6+'Dec 3 - Dec 9'!G6+'Dec 10 - Dec 16'!G6+'Dec 17 - Dec 23'!G6+'Dec 24 - Dec 30'!G6)</f>
        <v/>
      </c>
      <c r="M6" s="73" t="n">
        <v>9710.299999999999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157885.87</v>
      </c>
      <c r="D7" s="73">
        <f>VLOOKUP(A7,'Jan 1 - Jan 7'!A:M,2,FALSE)</f>
        <v/>
      </c>
      <c r="E7" s="86">
        <f>IFERROR((SUM(F7-D7)/D7),0)</f>
        <v/>
      </c>
      <c r="F7" s="73" t="n">
        <v>157885.87</v>
      </c>
      <c r="G7" s="74" t="n">
        <v>1230</v>
      </c>
      <c r="H7" s="63">
        <f>IFERROR(B7/G7,0)</f>
        <v/>
      </c>
      <c r="I7" s="61" t="n">
        <v>0</v>
      </c>
      <c r="J7" s="28">
        <f>I7/G7</f>
        <v/>
      </c>
      <c r="K7" s="46">
        <f>I7+'Nov 19 - Nov 25'!I7+'Nov 26 - Dec 2'!I7+'Dec 3 - Dec 9'!I7+'Dec 10 - Dec 16'!I7+'Dec 17 - Dec 23'!I7+'Dec 24 - Dec 30'!I7</f>
        <v/>
      </c>
      <c r="L7" s="89">
        <f>K7/SUM(G7+'Nov 19 - Nov 25'!G7+'Nov 26 - Dec 2'!G7+'Dec 3 - Dec 9'!G7+'Dec 10 - Dec 16'!G7+'Dec 17 - Dec 23'!G7+'Dec 24 - Dec 30'!G7)</f>
        <v/>
      </c>
      <c r="M7" s="73" t="n">
        <v>11708.2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90111.39999999999</v>
      </c>
      <c r="D8" s="73">
        <f>VLOOKUP(A8,'Jan 1 - Jan 7'!A:M,2,FALSE)</f>
        <v/>
      </c>
      <c r="E8" s="86">
        <f>IFERROR((SUM(F8-D8)/D8),0)</f>
        <v/>
      </c>
      <c r="F8" s="73" t="n">
        <v>90111.39999999999</v>
      </c>
      <c r="G8" s="74" t="n">
        <v>579</v>
      </c>
      <c r="H8" s="63">
        <f>IFERROR(B8/G8,0)</f>
        <v/>
      </c>
      <c r="I8" s="61" t="n">
        <v>0</v>
      </c>
      <c r="J8" s="28">
        <f>I8/G8</f>
        <v/>
      </c>
      <c r="K8" s="46">
        <f>I8+'Nov 19 - Nov 25'!I8+'Nov 26 - Dec 2'!I8+'Dec 3 - Dec 9'!I8+'Dec 10 - Dec 16'!I8+'Dec 17 - Dec 23'!I8+'Dec 24 - Dec 30'!I8</f>
        <v/>
      </c>
      <c r="L8" s="89">
        <f>K8/SUM(G8+'Nov 19 - Nov 25'!G8+'Nov 26 - Dec 2'!G8+'Dec 3 - Dec 9'!G8+'Dec 10 - Dec 16'!G8+'Dec 17 - Dec 23'!G8+'Dec 24 - Dec 30'!G8)</f>
        <v/>
      </c>
      <c r="M8" s="73" t="n">
        <v>3809.3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329855.35</v>
      </c>
      <c r="D9" s="73">
        <f>VLOOKUP(A9,'Jan 1 - Jan 7'!A:M,2,FALSE)</f>
        <v/>
      </c>
      <c r="E9" s="86">
        <f>IFERROR((SUM(F9-D9)/D9),0)</f>
        <v/>
      </c>
      <c r="F9" s="73" t="n">
        <v>329855.35</v>
      </c>
      <c r="G9" s="74" t="n">
        <v>2311</v>
      </c>
      <c r="H9" s="63">
        <f>IFERROR(B9/G9,0)</f>
        <v/>
      </c>
      <c r="I9" s="61" t="n">
        <v>2</v>
      </c>
      <c r="J9" s="28">
        <f>I9/G9</f>
        <v/>
      </c>
      <c r="K9" s="46">
        <f>I9+'Nov 19 - Nov 25'!I9+'Nov 26 - Dec 2'!I9+'Dec 3 - Dec 9'!I9+'Dec 10 - Dec 16'!I9+'Dec 17 - Dec 23'!I9+'Dec 24 - Dec 30'!I9</f>
        <v/>
      </c>
      <c r="L9" s="89">
        <f>K9/SUM(G9+'Nov 19 - Nov 25'!G9+'Nov 26 - Dec 2'!G9+'Dec 3 - Dec 9'!G9+'Dec 10 - Dec 16'!G9+'Dec 17 - Dec 23'!G9+'Dec 24 - Dec 30'!G9)</f>
        <v/>
      </c>
      <c r="M9" s="73" t="n">
        <v>8758.5</v>
      </c>
      <c r="N9" s="26" t="n"/>
      <c r="O9" s="9" t="n"/>
      <c r="P9" s="9" t="n"/>
    </row>
    <row r="10" ht="15.6" customHeight="1">
      <c r="A10" s="39" t="inlineStr">
        <is>
          <t xml:space="preserve">Waterkloof </t>
        </is>
      </c>
      <c r="B10" s="18">
        <f>F10*1.15</f>
        <v/>
      </c>
      <c r="C10" s="18" t="n">
        <v>114633.66</v>
      </c>
      <c r="D10" s="73">
        <f>VLOOKUP(A10,'Jan 1 - Jan 7'!A:M,2,FALSE)</f>
        <v/>
      </c>
      <c r="E10" s="86">
        <f>IFERROR((SUM(F10-D10)/D10),0)</f>
        <v/>
      </c>
      <c r="F10" s="73" t="n">
        <v>114633.66</v>
      </c>
      <c r="G10" s="74" t="n">
        <v>753</v>
      </c>
      <c r="H10" s="63">
        <f>IFERROR(B10/G10,0)</f>
        <v/>
      </c>
      <c r="I10" s="61" t="n">
        <v>1</v>
      </c>
      <c r="J10" s="28">
        <f>I10/G10</f>
        <v/>
      </c>
      <c r="K10" s="46">
        <f>I10+'Nov 19 - Nov 25'!I11+'Nov 26 - Dec 2'!I11+'Dec 3 - Dec 9'!I11+'Dec 10 - Dec 16'!I11+'Dec 17 - Dec 23'!I11+'Dec 24 - Dec 30'!I11</f>
        <v/>
      </c>
      <c r="L10" s="89">
        <f>K10/SUM(G10+'Nov 19 - Nov 25'!G11+'Nov 26 - Dec 2'!G11+'Dec 3 - Dec 9'!G11+'Dec 10 - Dec 16'!G11+'Dec 17 - Dec 23'!G11+'Dec 24 - Dec 30'!G11)</f>
        <v/>
      </c>
      <c r="M10" s="73" t="n">
        <v>3951.5</v>
      </c>
      <c r="N10" s="26" t="n"/>
      <c r="O10" s="9" t="n"/>
      <c r="P10" s="9" t="n"/>
    </row>
    <row r="11" ht="15.6" customHeight="1">
      <c r="A11" s="39" t="inlineStr">
        <is>
          <t>Eagles Landing</t>
        </is>
      </c>
      <c r="B11" s="18">
        <f>F11*1.15</f>
        <v/>
      </c>
      <c r="C11" s="18" t="n">
        <v>228406.1</v>
      </c>
      <c r="D11" s="73">
        <f>VLOOKUP(A11,'Jan 1 - Jan 7'!A:M,2,FALSE)</f>
        <v/>
      </c>
      <c r="E11" s="86">
        <f>IFERROR((SUM(F11-D11)/D11),0)</f>
        <v/>
      </c>
      <c r="F11" s="73" t="n">
        <v>228406.1</v>
      </c>
      <c r="G11" s="74" t="n">
        <v>1539</v>
      </c>
      <c r="H11" s="63">
        <f>IFERROR(B11/G11,0)</f>
        <v/>
      </c>
      <c r="I11" s="61" t="n">
        <v>1</v>
      </c>
      <c r="J11" s="28">
        <f>I11/G11</f>
        <v/>
      </c>
      <c r="K11" s="46">
        <f>I11+'Nov 19 - Nov 25'!I12+'Nov 26 - Dec 2'!I12+'Dec 3 - Dec 9'!I12+'Dec 10 - Dec 16'!I12+'Dec 17 - Dec 23'!I12+'Dec 24 - Dec 30'!I12</f>
        <v/>
      </c>
      <c r="L11" s="89">
        <f>K11/SUM(G11+'Nov 19 - Nov 25'!G12+'Nov 26 - Dec 2'!G12+'Dec 3 - Dec 9'!G12+'Dec 10 - Dec 16'!G12+'Dec 17 - Dec 23'!G12+'Dec 24 - Dec 30'!G12)</f>
        <v/>
      </c>
      <c r="M11" s="73" t="n">
        <v>14204.4</v>
      </c>
      <c r="N11" s="26" t="n"/>
      <c r="O11" s="9" t="n"/>
      <c r="P11" s="9" t="n"/>
    </row>
    <row r="12" ht="15.6" customHeight="1">
      <c r="A12" s="40" t="inlineStr">
        <is>
          <t>Stellenbosch</t>
        </is>
      </c>
      <c r="B12" s="18">
        <f>F12*1.15</f>
        <v/>
      </c>
      <c r="C12" s="18" t="n">
        <v>133751.79</v>
      </c>
      <c r="D12" s="73">
        <f>VLOOKUP(A12,'Jan 1 - Jan 7'!A:M,2,FALSE)</f>
        <v/>
      </c>
      <c r="E12" s="86">
        <f>IFERROR((SUM(F12-D12)/D12),0)</f>
        <v/>
      </c>
      <c r="F12" s="73" t="n">
        <v>133751.79</v>
      </c>
      <c r="G12" s="74" t="n">
        <v>1117</v>
      </c>
      <c r="H12" s="63">
        <f>IFERROR(B12/G12,0)</f>
        <v/>
      </c>
      <c r="I12" s="61" t="n">
        <v>2</v>
      </c>
      <c r="J12" s="28">
        <f>I12/G12</f>
        <v/>
      </c>
      <c r="K12" s="46">
        <f>I12+'Nov 19 - Nov 25'!I13+'Nov 26 - Dec 2'!I13+'Dec 3 - Dec 9'!I13+'Dec 10 - Dec 16'!I13+'Dec 17 - Dec 23'!I13+'Dec 24 - Dec 30'!I13</f>
        <v/>
      </c>
      <c r="L12" s="89">
        <f>K12/SUM(G12+'Nov 19 - Nov 25'!G13+'Nov 26 - Dec 2'!G13+'Dec 3 - Dec 9'!G13+'Dec 10 - Dec 16'!G13+'Dec 17 - Dec 23'!G13+'Dec 24 - Dec 30'!G13)</f>
        <v/>
      </c>
      <c r="M12" s="73" t="n">
        <v>11085.5</v>
      </c>
      <c r="N12" s="26" t="n"/>
      <c r="O12" s="9" t="n"/>
      <c r="P12" s="9" t="n"/>
    </row>
    <row r="13" ht="15.6" customHeight="1">
      <c r="A13" s="40" t="inlineStr">
        <is>
          <t>Lynnwood</t>
        </is>
      </c>
      <c r="B13" s="18">
        <f>F13*1.15</f>
        <v/>
      </c>
      <c r="C13" s="18" t="n">
        <v>185171.07</v>
      </c>
      <c r="D13" s="73">
        <f>VLOOKUP(A13,'Jan 1 - Jan 7'!A:M,2,FALSE)</f>
        <v/>
      </c>
      <c r="E13" s="86">
        <f>IFERROR((SUM(F13-D13)/D13),0)</f>
        <v/>
      </c>
      <c r="F13" s="73" t="n">
        <v>185171.07</v>
      </c>
      <c r="G13" s="74" t="n">
        <v>1433</v>
      </c>
      <c r="H13" s="63">
        <f>IFERROR(B13/G13,0)</f>
        <v/>
      </c>
      <c r="I13" s="61" t="n">
        <v>1</v>
      </c>
      <c r="J13" s="28">
        <f>I13/G13</f>
        <v/>
      </c>
      <c r="K13" s="46">
        <f>I13+'Nov 19 - Nov 25'!I14+'Nov 26 - Dec 2'!I14+'Dec 3 - Dec 9'!I14+'Dec 10 - Dec 16'!I14+'Dec 17 - Dec 23'!I14+'Dec 24 - Dec 30'!I14</f>
        <v/>
      </c>
      <c r="L13" s="89">
        <f>K13/SUM(G13+'Nov 19 - Nov 25'!G14+'Nov 26 - Dec 2'!G14+'Dec 3 - Dec 9'!G14+'Dec 10 - Dec 16'!G14+'Dec 17 - Dec 23'!G14+'Dec 24 - Dec 30'!G14)</f>
        <v/>
      </c>
      <c r="M13" s="73" t="n">
        <v>6067</v>
      </c>
      <c r="N13" s="26" t="n"/>
      <c r="O13" s="9" t="n"/>
      <c r="P13" s="9" t="n"/>
    </row>
    <row r="14" ht="15.6" customHeight="1">
      <c r="A14" s="40" t="inlineStr">
        <is>
          <t>Wellington</t>
        </is>
      </c>
      <c r="B14" s="18">
        <f>F14*1.15</f>
        <v/>
      </c>
      <c r="C14" s="18" t="n">
        <v>0</v>
      </c>
      <c r="D14" s="73">
        <f>VLOOKUP(A14,'Jan 1 - Jan 7'!A:M,2,FALSE)</f>
        <v/>
      </c>
      <c r="E14" s="86">
        <f>IFERROR((SUM(F14-D14)/D14),0)</f>
        <v/>
      </c>
      <c r="F14" s="73" t="n">
        <v>0</v>
      </c>
      <c r="G14" s="74" t="n">
        <v>0</v>
      </c>
      <c r="H14" s="63">
        <f>IFERROR(B14/G14,0)</f>
        <v/>
      </c>
      <c r="I14" s="61" t="n">
        <v>0</v>
      </c>
      <c r="J14" s="28">
        <f>I14/G14</f>
        <v/>
      </c>
      <c r="K14" s="46">
        <f>I14+'Nov 19 - Nov 25'!I15+'Nov 26 - Dec 2'!I15+'Dec 3 - Dec 9'!I15+'Dec 10 - Dec 16'!I15+'Dec 17 - Dec 23'!I15+'Dec 24 - Dec 30'!I15</f>
        <v/>
      </c>
      <c r="L14" s="89">
        <f>K14/SUM(G14+'Nov 19 - Nov 25'!G15+'Nov 26 - Dec 2'!G15+'Dec 3 - Dec 9'!G15+'Dec 10 - Dec 16'!G15+'Dec 17 - Dec 23'!G15+'Dec 24 - Dec 30'!G15)</f>
        <v/>
      </c>
      <c r="M14" s="73" t="n">
        <v>0</v>
      </c>
      <c r="N14" s="26" t="n"/>
      <c r="O14" s="9" t="n"/>
      <c r="P14" s="9" t="n"/>
    </row>
    <row r="15" ht="15.6" customHeight="1">
      <c r="A15" s="40" t="inlineStr">
        <is>
          <t>Hartenbos</t>
        </is>
      </c>
      <c r="B15" s="18">
        <f>F15*1.15</f>
        <v/>
      </c>
      <c r="C15" s="18" t="n">
        <v>730769.9300000001</v>
      </c>
      <c r="D15" s="73">
        <f>VLOOKUP(A15,'Jan 1 - Jan 7'!A:M,2,FALSE)</f>
        <v/>
      </c>
      <c r="E15" s="86">
        <f>IFERROR((SUM(F15-D15)/D15),0)</f>
        <v/>
      </c>
      <c r="F15" s="73" t="n">
        <v>730769.9300000001</v>
      </c>
      <c r="G15" s="74" t="n">
        <v>6082</v>
      </c>
      <c r="H15" s="63">
        <f>IFERROR(B15/G15,0)</f>
        <v/>
      </c>
      <c r="I15" s="61" t="n">
        <v>13</v>
      </c>
      <c r="J15" s="28">
        <f>I15/G15</f>
        <v/>
      </c>
      <c r="K15" s="46">
        <f>I15+'Nov 19 - Nov 25'!I18+'Nov 26 - Dec 2'!I18+'Dec 3 - Dec 9'!I18+'Dec 10 - Dec 16'!I18+'Dec 17 - Dec 23'!I18+'Dec 24 - Dec 30'!I18</f>
        <v/>
      </c>
      <c r="L15" s="89">
        <f>K15/SUM(G15+'Nov 19 - Nov 25'!G18+'Nov 26 - Dec 2'!G18+'Dec 3 - Dec 9'!G18+'Dec 10 - Dec 16'!G18+'Dec 17 - Dec 23'!G18+'Dec 24 - Dec 30'!G18)</f>
        <v/>
      </c>
      <c r="M15" s="73" t="n">
        <v>4545</v>
      </c>
      <c r="N15" s="9" t="n"/>
      <c r="O15" s="9" t="n"/>
      <c r="P15" s="9" t="n"/>
    </row>
    <row r="16" ht="15.6" customHeight="1">
      <c r="A16" s="40" t="inlineStr">
        <is>
          <t>Kyalami Corner</t>
        </is>
      </c>
      <c r="B16" s="18">
        <f>F16*1.15</f>
        <v/>
      </c>
      <c r="C16" s="18" t="n">
        <v>96083.84</v>
      </c>
      <c r="D16" s="73">
        <f>VLOOKUP(A16,'Jan 1 - Jan 7'!A:M,2,FALSE)</f>
        <v/>
      </c>
      <c r="E16" s="86">
        <f>IFERROR((SUM(F16-D16)/D16),0)</f>
        <v/>
      </c>
      <c r="F16" s="73" t="n">
        <v>96083.84</v>
      </c>
      <c r="G16" s="74" t="n">
        <v>689</v>
      </c>
      <c r="H16" s="63">
        <f>IFERROR(B16/G16,0)</f>
        <v/>
      </c>
      <c r="I16" s="61" t="n">
        <v>2</v>
      </c>
      <c r="J16" s="28">
        <f>I16/G16</f>
        <v/>
      </c>
      <c r="K16" s="46">
        <f>I16+'Nov 19 - Nov 25'!I19+'Nov 26 - Dec 2'!I19+'Dec 3 - Dec 9'!I19+'Dec 10 - Dec 16'!I19+'Dec 17 - Dec 23'!I19+'Dec 24 - Dec 30'!I19</f>
        <v/>
      </c>
      <c r="L16" s="89">
        <f>K16/SUM(G16+'Nov 19 - Nov 25'!G19+'Nov 26 - Dec 2'!G19+'Dec 3 - Dec 9'!G19+'Dec 10 - Dec 16'!G19+'Dec 17 - Dec 23'!G19+'Dec 24 - Dec 30'!G19)</f>
        <v/>
      </c>
      <c r="M16" s="73" t="n">
        <v>5583.8</v>
      </c>
      <c r="N16" s="9" t="n"/>
      <c r="O16" s="9" t="n"/>
      <c r="P16" s="9" t="n"/>
    </row>
    <row r="17" ht="15.6" customHeight="1">
      <c r="A17" s="40" t="inlineStr">
        <is>
          <t>Paulshof</t>
        </is>
      </c>
      <c r="B17" s="18">
        <f>F17*1.15</f>
        <v/>
      </c>
      <c r="C17" s="18" t="n">
        <v>133382.21</v>
      </c>
      <c r="D17" s="73">
        <f>VLOOKUP(A17,'Jan 1 - Jan 7'!A:M,2,FALSE)</f>
        <v/>
      </c>
      <c r="E17" s="86">
        <f>IFERROR((SUM(F17-D17)/D17),0)</f>
        <v/>
      </c>
      <c r="F17" s="73" t="n">
        <v>133382.21</v>
      </c>
      <c r="G17" s="74" t="n">
        <v>917</v>
      </c>
      <c r="H17" s="63">
        <f>IFERROR(B17/G17,0)</f>
        <v/>
      </c>
      <c r="I17" s="74" t="n">
        <v>0</v>
      </c>
      <c r="J17" s="28">
        <f>I17/G17</f>
        <v/>
      </c>
      <c r="K17" s="46">
        <f>I17+'Nov 19 - Nov 25'!I20+'Nov 26 - Dec 2'!I20+'Dec 3 - Dec 9'!I20+'Dec 10 - Dec 16'!I20+'Dec 17 - Dec 23'!I20+'Dec 24 - Dec 30'!I20</f>
        <v/>
      </c>
      <c r="L17" s="89">
        <f>K17/SUM(G17+'Nov 19 - Nov 25'!G20+'Nov 26 - Dec 2'!G20+'Dec 3 - Dec 9'!G20+'Dec 10 - Dec 16'!G20+'Dec 17 - Dec 23'!G20+'Dec 24 - Dec 30'!G20)</f>
        <v/>
      </c>
      <c r="M17" s="73" t="n">
        <v>10040.23</v>
      </c>
    </row>
    <row r="18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Height="1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pageMargins left="0.7086614173228347" right="0.7086614173228347" top="0.7480314960629921" bottom="0.7480314960629921" header="0.3149606299212598" footer="0.3149606299212598"/>
  <pageSetup orientation="landscape" paperSize="9" scale="72"/>
  <drawing r:id="rId1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373860.7795</v>
      </c>
      <c r="D6" s="73" t="n">
        <v>268353.83</v>
      </c>
      <c r="E6" s="86">
        <f>IFERROR((SUM(F6-D6)/D6),0)</f>
        <v/>
      </c>
      <c r="F6" s="73" t="n">
        <v>282462.92</v>
      </c>
      <c r="G6" s="74" t="n">
        <v>2196</v>
      </c>
      <c r="H6" s="63">
        <f>IFERROR(B6/G6,0)</f>
        <v/>
      </c>
      <c r="I6" s="61">
        <f>VLOOKUP(A6,Promo!A:E,3,FALSE)</f>
        <v/>
      </c>
      <c r="J6" s="28">
        <f>IFERROR(I6/G6,0)</f>
        <v/>
      </c>
      <c r="K6" s="46">
        <f>I6</f>
        <v/>
      </c>
      <c r="L6" s="89">
        <f>IFERROR(K6/SUM(G6),0)</f>
        <v/>
      </c>
      <c r="M6" s="73" t="n">
        <v>12374.85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181568.7505</v>
      </c>
      <c r="D7" s="73" t="n">
        <v>163075.54</v>
      </c>
      <c r="E7" s="86">
        <f>IFERROR((SUM(F7-D7)/D7),0)</f>
        <v/>
      </c>
      <c r="F7" s="73" t="n">
        <v>142591.76</v>
      </c>
      <c r="G7" s="74" t="n">
        <v>1230</v>
      </c>
      <c r="H7" s="63">
        <f>IFERROR(B7/G7,0)</f>
        <v/>
      </c>
      <c r="I7" s="61">
        <f>VLOOKUP(A7,Promo!A:E,3,FALSE)</f>
        <v/>
      </c>
      <c r="J7" s="28">
        <f>IFERROR(I7/G7,0)</f>
        <v/>
      </c>
      <c r="K7" s="46">
        <f>I7</f>
        <v/>
      </c>
      <c r="L7" s="89">
        <f>IFERROR(K7/SUM(G7),0)</f>
        <v/>
      </c>
      <c r="M7" s="73" t="n">
        <v>9172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103628.11</v>
      </c>
      <c r="D8" s="73" t="n">
        <v>83089.63</v>
      </c>
      <c r="E8" s="86">
        <f>IFERROR((SUM(F8-D8)/D8),0)</f>
        <v/>
      </c>
      <c r="F8" s="73" t="n">
        <v>72948.71000000001</v>
      </c>
      <c r="G8" s="74" t="n">
        <v>520</v>
      </c>
      <c r="H8" s="63">
        <f>IFERROR(B8/G8,0)</f>
        <v/>
      </c>
      <c r="I8" s="61">
        <f>VLOOKUP(A8,Promo!A:E,3,FALSE)</f>
        <v/>
      </c>
      <c r="J8" s="28">
        <f>IFERROR(I8/G8,0)</f>
        <v/>
      </c>
      <c r="K8" s="46">
        <f>I8</f>
        <v/>
      </c>
      <c r="L8" s="89">
        <f>IFERROR(K8/SUM(G8),0)</f>
        <v/>
      </c>
      <c r="M8" s="73" t="n">
        <v>4756.8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379333.6525</v>
      </c>
      <c r="D9" s="73" t="n">
        <v>266913.83</v>
      </c>
      <c r="E9" s="86">
        <f>IFERROR((SUM(F9-D9)/D9),0)</f>
        <v/>
      </c>
      <c r="F9" s="73" t="n">
        <v>271188.76</v>
      </c>
      <c r="G9" s="74" t="n">
        <v>1974</v>
      </c>
      <c r="H9" s="63">
        <f>IFERROR(B9/G9,0)</f>
        <v/>
      </c>
      <c r="I9" s="61">
        <f>VLOOKUP(A9,Promo!A:E,3,FALSE)</f>
        <v/>
      </c>
      <c r="J9" s="28">
        <f>IFERROR(I9/G9,0)</f>
        <v/>
      </c>
      <c r="K9" s="46">
        <f>I9</f>
        <v/>
      </c>
      <c r="L9" s="89">
        <f>IFERROR(K9/SUM(G9),0)</f>
        <v/>
      </c>
      <c r="M9" s="73" t="n">
        <v>12276.8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131828.709</v>
      </c>
      <c r="D10" s="73" t="n">
        <v>117708.7</v>
      </c>
      <c r="E10" s="86">
        <f>IFERROR((SUM(F10-D10)/D10),0)</f>
        <v/>
      </c>
      <c r="F10" s="73" t="n">
        <v>135753.02</v>
      </c>
      <c r="G10" s="74" t="n">
        <v>955</v>
      </c>
      <c r="H10" s="63">
        <f>IFERROR(B10/G10,0)</f>
        <v/>
      </c>
      <c r="I10" s="61">
        <f>VLOOKUP(A10,Promo!A:E,3,FALSE)</f>
        <v/>
      </c>
      <c r="J10" s="28">
        <f>IFERROR(I10/G10,0)</f>
        <v/>
      </c>
      <c r="K10" s="46">
        <f>I10</f>
        <v/>
      </c>
      <c r="L10" s="89">
        <f>IFERROR(K10/SUM(G10),0)</f>
        <v/>
      </c>
      <c r="M10" s="73" t="n">
        <v>8544.5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262667.015</v>
      </c>
      <c r="D11" s="73" t="n">
        <v>294196.37</v>
      </c>
      <c r="E11" s="86">
        <f>IFERROR((SUM(F11-D11)/D11),0)</f>
        <v/>
      </c>
      <c r="F11" s="73" t="n">
        <v>320006.2</v>
      </c>
      <c r="G11" s="74" t="n">
        <v>2400</v>
      </c>
      <c r="H11" s="63">
        <f>IFERROR(B11/G11,0)</f>
        <v/>
      </c>
      <c r="I11" s="61">
        <f>VLOOKUP(A11,Promo!A:E,3,FALSE)</f>
        <v/>
      </c>
      <c r="J11" s="28">
        <f>IFERROR(I11/G11,0)</f>
        <v/>
      </c>
      <c r="K11" s="46">
        <f>I11</f>
        <v/>
      </c>
      <c r="L11" s="89">
        <f>IFERROR(K11/SUM(G11),0)</f>
        <v/>
      </c>
      <c r="M11" s="73" t="n">
        <v>16972.85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153814.5585</v>
      </c>
      <c r="D12" s="73" t="n">
        <v>107328.96</v>
      </c>
      <c r="E12" s="86">
        <f>IFERROR((SUM(F12-D12)/D12),0)</f>
        <v/>
      </c>
      <c r="F12" s="73" t="n">
        <v>124091.17</v>
      </c>
      <c r="G12" s="74" t="n">
        <v>1071</v>
      </c>
      <c r="H12" s="63">
        <f>IFERROR(B12/G12,0)</f>
        <v/>
      </c>
      <c r="I12" s="61">
        <f>VLOOKUP(A12,Promo!A:E,3,FALSE)</f>
        <v/>
      </c>
      <c r="J12" s="28">
        <f>IFERROR(I12/G12,0)</f>
        <v/>
      </c>
      <c r="K12" s="46">
        <f>I12</f>
        <v/>
      </c>
      <c r="L12" s="89">
        <f>IFERROR(K12/SUM(G12),0)</f>
        <v/>
      </c>
      <c r="M12" s="73" t="n">
        <v>12387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212946.7305</v>
      </c>
      <c r="D13" s="73" t="n">
        <v>203360.97</v>
      </c>
      <c r="E13" s="86">
        <f>IFERROR((SUM(F13-D13)/D13),0)</f>
        <v/>
      </c>
      <c r="F13" s="73" t="n">
        <v>219380.24</v>
      </c>
      <c r="G13" s="74" t="n">
        <v>1849</v>
      </c>
      <c r="H13" s="63">
        <f>IFERROR(B13/G13,0)</f>
        <v/>
      </c>
      <c r="I13" s="61">
        <f>VLOOKUP(A13,Promo!A:E,3,FALSE)</f>
        <v/>
      </c>
      <c r="J13" s="28">
        <f>IFERROR(I13/G13,0)</f>
        <v/>
      </c>
      <c r="K13" s="46">
        <f>I13</f>
        <v/>
      </c>
      <c r="L13" s="89">
        <f>IFERROR(K13/SUM(G13),0)</f>
        <v/>
      </c>
      <c r="M13" s="73" t="n">
        <v>7469.1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0</v>
      </c>
      <c r="D14" s="73" t="n">
        <v>0</v>
      </c>
      <c r="E14" s="86">
        <f>IFERROR((SUM(F14-D14)/D14),0)</f>
        <v/>
      </c>
      <c r="F14" s="73" t="n">
        <v>93753.47</v>
      </c>
      <c r="G14" s="74" t="n">
        <v>427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</f>
        <v/>
      </c>
      <c r="L14" s="89">
        <f>IFERROR(K14/SUM(G14),0)</f>
        <v/>
      </c>
      <c r="M14" s="73" t="n">
        <v>10099.75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840385.4195</v>
      </c>
      <c r="D15" s="73" t="n">
        <v>343995.82</v>
      </c>
      <c r="E15" s="86">
        <f>IFERROR((SUM(F15-D15)/D15),0)</f>
        <v/>
      </c>
      <c r="F15" s="73" t="n">
        <v>260614.2</v>
      </c>
      <c r="G15" s="74" t="n">
        <v>2405</v>
      </c>
      <c r="H15" s="63">
        <f>IFERROR(B15/G15,0)</f>
        <v/>
      </c>
      <c r="I15" s="61">
        <f>VLOOKUP(A15,Promo!A:E,3,FALSE)</f>
        <v/>
      </c>
      <c r="J15" s="28">
        <f>IFERROR(I15/G15,0)</f>
        <v/>
      </c>
      <c r="K15" s="46">
        <f>I15</f>
        <v/>
      </c>
      <c r="L15" s="89">
        <f>IFERROR(K15/SUM(G15),0)</f>
        <v/>
      </c>
      <c r="M15" s="73" t="n">
        <v>7204.6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110496.416</v>
      </c>
      <c r="D16" s="73" t="n">
        <v>119445.84</v>
      </c>
      <c r="E16" s="86">
        <f>IFERROR((SUM(F16-D16)/D16),0)</f>
        <v/>
      </c>
      <c r="F16" s="73" t="n">
        <v>123295.01</v>
      </c>
      <c r="G16" s="74" t="n">
        <v>872</v>
      </c>
      <c r="H16" s="63">
        <f>IFERROR(B16/G16,0)</f>
        <v/>
      </c>
      <c r="I16" s="61">
        <f>VLOOKUP(A16,Promo!A:E,3,FALSE)</f>
        <v/>
      </c>
      <c r="J16" s="28">
        <f>IFERROR(I16/G16,0)</f>
        <v/>
      </c>
      <c r="K16" s="46">
        <f>I16</f>
        <v/>
      </c>
      <c r="L16" s="89">
        <f>IFERROR(K16/SUM(G16),0)</f>
        <v/>
      </c>
      <c r="M16" s="73" t="n">
        <v>7508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153389.5415</v>
      </c>
      <c r="D17" s="73" t="n">
        <v>247141.38</v>
      </c>
      <c r="E17" s="86">
        <f>IFERROR((SUM(F17-D17)/D17),0)</f>
        <v/>
      </c>
      <c r="F17" s="73" t="n">
        <v>189563.77</v>
      </c>
      <c r="G17" s="74" t="n">
        <v>1334</v>
      </c>
      <c r="H17" s="63">
        <f>IFERROR(B17/G17,0)</f>
        <v/>
      </c>
      <c r="I17" s="61">
        <f>VLOOKUP(A17,Promo!A:E,3,FALSE)</f>
        <v/>
      </c>
      <c r="J17" s="28">
        <f>IFERROR(I17/G17,0)</f>
        <v/>
      </c>
      <c r="K17" s="46">
        <f>I17</f>
        <v/>
      </c>
      <c r="L17" s="89">
        <f>IFERROR(K17/SUM(G17),0)</f>
        <v/>
      </c>
      <c r="M17" s="73" t="n">
        <v>13181.9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8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>
        <f>VLOOKUP(A6,'Jan 7 - Jan 13'!A:D,2,FALSE)</f>
        <v/>
      </c>
      <c r="D6" s="73">
        <f>VLOOKUP(A6,'Jan 15 - Jan 21'!A:F,6,FALSE)</f>
        <v/>
      </c>
      <c r="E6" s="86">
        <f>IFERROR((SUM(F6-D6)/D6),0)</f>
        <v/>
      </c>
      <c r="F6" s="73" t="n">
        <v>250408.15</v>
      </c>
      <c r="G6" s="74" t="n">
        <v>1887</v>
      </c>
      <c r="H6" s="63">
        <f>IFERROR(B6/G6,0)</f>
        <v/>
      </c>
      <c r="I6" s="61">
        <f>VLOOKUP(A6,Promo!A:E,4,FALSE)</f>
        <v/>
      </c>
      <c r="J6" s="28">
        <f>IFERROR(I6/G6,0)</f>
        <v/>
      </c>
      <c r="K6" s="46">
        <f>I6+'Jan 7 - Jan 13'!I6</f>
        <v/>
      </c>
      <c r="L6" s="89">
        <f>IFERROR(K6/SUM(G6),0)</f>
        <v/>
      </c>
      <c r="M6" s="73" t="n">
        <v>13363.8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>
        <f>VLOOKUP(A7,'Jan 7 - Jan 13'!A:D,2,FALSE)</f>
        <v/>
      </c>
      <c r="D7" s="73">
        <f>VLOOKUP(A7,'Jan 15 - Jan 21'!A:F,6,FALSE)</f>
        <v/>
      </c>
      <c r="E7" s="86">
        <f>IFERROR((SUM(F7-D7)/D7),0)</f>
        <v/>
      </c>
      <c r="F7" s="73" t="n">
        <v>200795.26</v>
      </c>
      <c r="G7" s="74" t="n">
        <v>1451</v>
      </c>
      <c r="H7" s="63">
        <f>IFERROR(B7/G7,0)</f>
        <v/>
      </c>
      <c r="I7" s="61">
        <f>VLOOKUP(A7,Promo!A:E,4,FALSE)</f>
        <v/>
      </c>
      <c r="J7" s="28">
        <f>IFERROR(I7/G7,0)</f>
        <v/>
      </c>
      <c r="K7" s="46">
        <f>I7+'Jan 7 - Jan 13'!I7</f>
        <v/>
      </c>
      <c r="L7" s="89">
        <f>IFERROR(K7/SUM(G7),0)</f>
        <v/>
      </c>
      <c r="M7" s="73" t="n">
        <v>10433.18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>
        <f>VLOOKUP(A8,'Jan 7 - Jan 13'!A:D,2,FALSE)</f>
        <v/>
      </c>
      <c r="D8" s="73">
        <f>VLOOKUP(A8,'Jan 15 - Jan 21'!A:F,6,FALSE)</f>
        <v/>
      </c>
      <c r="E8" s="86">
        <f>IFERROR((SUM(F8-D8)/D8),0)</f>
        <v/>
      </c>
      <c r="F8" s="73" t="n">
        <v>77975.73</v>
      </c>
      <c r="G8" s="74" t="n">
        <v>547</v>
      </c>
      <c r="H8" s="63">
        <f>IFERROR(B8/G8,0)</f>
        <v/>
      </c>
      <c r="I8" s="61">
        <f>VLOOKUP(A8,Promo!A:E,4,FALSE)</f>
        <v/>
      </c>
      <c r="J8" s="28">
        <f>IFERROR(I8/G8,0)</f>
        <v/>
      </c>
      <c r="K8" s="46">
        <f>I8+'Jan 7 - Jan 13'!I8</f>
        <v/>
      </c>
      <c r="L8" s="89">
        <f>IFERROR(K8/SUM(G8),0)</f>
        <v/>
      </c>
      <c r="M8" s="73" t="n">
        <v>4770.52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>
        <f>VLOOKUP(A9,'Jan 7 - Jan 13'!A:D,2,FALSE)</f>
        <v/>
      </c>
      <c r="D9" s="73">
        <f>VLOOKUP(A9,'Jan 15 - Jan 21'!A:F,6,FALSE)</f>
        <v/>
      </c>
      <c r="E9" s="86">
        <f>IFERROR((SUM(F9-D9)/D9),0)</f>
        <v/>
      </c>
      <c r="F9" s="73" t="n">
        <v>287612.29</v>
      </c>
      <c r="G9" s="74" t="n">
        <v>2232</v>
      </c>
      <c r="H9" s="63">
        <f>IFERROR(B9/G9,0)</f>
        <v/>
      </c>
      <c r="I9" s="61">
        <f>VLOOKUP(A9,Promo!A:E,4,FALSE)</f>
        <v/>
      </c>
      <c r="J9" s="28">
        <f>IFERROR(I9/G9,0)</f>
        <v/>
      </c>
      <c r="K9" s="46">
        <f>I9+'Jan 7 - Jan 13'!I9</f>
        <v/>
      </c>
      <c r="L9" s="89">
        <f>IFERROR(K9/SUM(G9),0)</f>
        <v/>
      </c>
      <c r="M9" s="73" t="n">
        <v>16316.6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>
        <f>VLOOKUP(A10,'Jan 7 - Jan 13'!A:D,2,FALSE)</f>
        <v/>
      </c>
      <c r="D10" s="73">
        <f>VLOOKUP(A10,'Jan 15 - Jan 21'!A:F,6,FALSE)</f>
        <v/>
      </c>
      <c r="E10" s="86">
        <f>IFERROR((SUM(F10-D10)/D10),0)</f>
        <v/>
      </c>
      <c r="F10" s="73" t="n">
        <v>132398.45</v>
      </c>
      <c r="G10" s="74" t="n">
        <v>932</v>
      </c>
      <c r="H10" s="63">
        <f>IFERROR(B10/G10,0)</f>
        <v/>
      </c>
      <c r="I10" s="61">
        <f>VLOOKUP(A10,Promo!A:E,4,FALSE)</f>
        <v/>
      </c>
      <c r="J10" s="28">
        <f>IFERROR(I10/G10,0)</f>
        <v/>
      </c>
      <c r="K10" s="46">
        <f>I10+'Jan 7 - Jan 13'!I10</f>
        <v/>
      </c>
      <c r="L10" s="89">
        <f>IFERROR(K10/SUM(G10),0)</f>
        <v/>
      </c>
      <c r="M10" s="73" t="n">
        <v>10954.41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>
        <f>VLOOKUP(A11,'Jan 7 - Jan 13'!A:D,2,FALSE)</f>
        <v/>
      </c>
      <c r="D11" s="73">
        <f>VLOOKUP(A11,'Jan 15 - Jan 21'!A:F,6,FALSE)</f>
        <v/>
      </c>
      <c r="E11" s="86">
        <f>IFERROR((SUM(F11-D11)/D11),0)</f>
        <v/>
      </c>
      <c r="F11" s="73" t="n">
        <v>313579.03</v>
      </c>
      <c r="G11" s="74" t="n">
        <v>2207</v>
      </c>
      <c r="H11" s="63">
        <f>IFERROR(B11/G11,0)</f>
        <v/>
      </c>
      <c r="I11" s="61">
        <f>VLOOKUP(A11,Promo!A:E,4,FALSE)</f>
        <v/>
      </c>
      <c r="J11" s="28">
        <f>IFERROR(I11/G11,0)</f>
        <v/>
      </c>
      <c r="K11" s="46">
        <f>I11+'Jan 7 - Jan 13'!I11</f>
        <v/>
      </c>
      <c r="L11" s="89">
        <f>IFERROR(K11/SUM(G11),0)</f>
        <v/>
      </c>
      <c r="M11" s="73" t="n">
        <v>15628.45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>
        <f>VLOOKUP(A12,'Jan 7 - Jan 13'!A:D,2,FALSE)</f>
        <v/>
      </c>
      <c r="D12" s="73">
        <f>VLOOKUP(A12,'Jan 15 - Jan 21'!A:F,6,FALSE)</f>
        <v/>
      </c>
      <c r="E12" s="86">
        <f>IFERROR((SUM(F12-D12)/D12),0)</f>
        <v/>
      </c>
      <c r="F12" s="73" t="n">
        <v>139966.8</v>
      </c>
      <c r="G12" s="74" t="n">
        <v>1209</v>
      </c>
      <c r="H12" s="63">
        <f>IFERROR(B12/G12,0)</f>
        <v/>
      </c>
      <c r="I12" s="61">
        <f>VLOOKUP(A12,Promo!A:E,4,FALSE)</f>
        <v/>
      </c>
      <c r="J12" s="28">
        <f>IFERROR(I12/G12,0)</f>
        <v/>
      </c>
      <c r="K12" s="46">
        <f>I12+'Jan 7 - Jan 13'!I12</f>
        <v/>
      </c>
      <c r="L12" s="89">
        <f>IFERROR(K12/SUM(G12),0)</f>
        <v/>
      </c>
      <c r="M12" s="73" t="n">
        <v>16331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>
        <f>VLOOKUP(A13,'Jan 7 - Jan 13'!A:D,2,FALSE)</f>
        <v/>
      </c>
      <c r="D13" s="73">
        <f>VLOOKUP(A13,'Jan 15 - Jan 21'!A:F,6,FALSE)</f>
        <v/>
      </c>
      <c r="E13" s="86">
        <f>IFERROR((SUM(F13-D13)/D13),0)</f>
        <v/>
      </c>
      <c r="F13" s="73" t="n">
        <v>198827.43</v>
      </c>
      <c r="G13" s="74" t="n">
        <v>1657</v>
      </c>
      <c r="H13" s="63">
        <f>IFERROR(B13/G13,0)</f>
        <v/>
      </c>
      <c r="I13" s="61">
        <f>VLOOKUP(A13,Promo!A:E,4,FALSE)</f>
        <v/>
      </c>
      <c r="J13" s="28">
        <f>IFERROR(I13/G13,0)</f>
        <v/>
      </c>
      <c r="K13" s="46">
        <f>I13+'Jan 7 - Jan 13'!I13</f>
        <v/>
      </c>
      <c r="L13" s="89">
        <f>IFERROR(K13/SUM(G13),0)</f>
        <v/>
      </c>
      <c r="M13" s="73" t="n">
        <v>13052.5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>
        <f>VLOOKUP(A14,'Jan 7 - Jan 13'!A:D,2,FALSE)</f>
        <v/>
      </c>
      <c r="D14" s="73">
        <f>VLOOKUP(A14,'Jan 15 - Jan 21'!A:F,6,FALSE)</f>
        <v/>
      </c>
      <c r="E14" s="86">
        <f>IFERROR((SUM(F14-D14)/D14),0)</f>
        <v/>
      </c>
      <c r="F14" s="73" t="n">
        <v>76824.78</v>
      </c>
      <c r="G14" s="74" t="n">
        <v>442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</f>
        <v/>
      </c>
      <c r="L14" s="89">
        <f>IFERROR(K14/SUM(G14),0)</f>
        <v/>
      </c>
      <c r="M14" s="73" t="n">
        <v>6616.4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>
        <f>VLOOKUP(A15,'Jan 7 - Jan 13'!A:D,2,FALSE)</f>
        <v/>
      </c>
      <c r="D15" s="73">
        <f>VLOOKUP(A15,'Jan 15 - Jan 21'!A:F,6,FALSE)</f>
        <v/>
      </c>
      <c r="E15" s="86">
        <f>IFERROR((SUM(F15-D15)/D15),0)</f>
        <v/>
      </c>
      <c r="F15" s="73" t="n">
        <v>189348.96</v>
      </c>
      <c r="G15" s="74" t="n">
        <v>1669</v>
      </c>
      <c r="H15" s="63">
        <f>IFERROR(B15/G15,0)</f>
        <v/>
      </c>
      <c r="I15" s="61">
        <f>VLOOKUP(A15,Promo!A:E,4,FALSE)</f>
        <v/>
      </c>
      <c r="J15" s="28">
        <f>IFERROR(I15/G15,0)</f>
        <v/>
      </c>
      <c r="K15" s="46">
        <f>I15+'Jan 7 - Jan 13'!I15</f>
        <v/>
      </c>
      <c r="L15" s="89">
        <f>IFERROR(K15/SUM(G15),0)</f>
        <v/>
      </c>
      <c r="M15" s="73" t="n">
        <v>6353.35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>
        <f>VLOOKUP(A16,'Jan 7 - Jan 13'!A:D,2,FALSE)</f>
        <v/>
      </c>
      <c r="D16" s="73">
        <f>VLOOKUP(A16,'Jan 15 - Jan 21'!A:F,6,FALSE)</f>
        <v/>
      </c>
      <c r="E16" s="86">
        <f>IFERROR((SUM(F16-D16)/D16),0)</f>
        <v/>
      </c>
      <c r="F16" s="73" t="n">
        <v>121824.18</v>
      </c>
      <c r="G16" s="74" t="n">
        <v>836</v>
      </c>
      <c r="H16" s="63">
        <f>IFERROR(B16/G16,0)</f>
        <v/>
      </c>
      <c r="I16" s="61">
        <f>VLOOKUP(A16,Promo!A:E,4,FALSE)</f>
        <v/>
      </c>
      <c r="J16" s="28">
        <f>IFERROR(I16/G16,0)</f>
        <v/>
      </c>
      <c r="K16" s="46">
        <f>I16+'Jan 7 - Jan 13'!I16</f>
        <v/>
      </c>
      <c r="L16" s="89">
        <f>IFERROR(K16/SUM(G16),0)</f>
        <v/>
      </c>
      <c r="M16" s="73" t="n">
        <v>11974.75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>
        <f>VLOOKUP(A17,'Jan 7 - Jan 13'!A:D,2,FALSE)</f>
        <v/>
      </c>
      <c r="D17" s="73">
        <f>VLOOKUP(A17,'Jan 15 - Jan 21'!A:F,6,FALSE)</f>
        <v/>
      </c>
      <c r="E17" s="86">
        <f>IFERROR((SUM(F17-D17)/D17),0)</f>
        <v/>
      </c>
      <c r="F17" s="73" t="n">
        <v>198434.85</v>
      </c>
      <c r="G17" s="74" t="n">
        <v>1408</v>
      </c>
      <c r="H17" s="63">
        <f>IFERROR(B17/G17,0)</f>
        <v/>
      </c>
      <c r="I17" s="61">
        <f>VLOOKUP(A17,Promo!A:E,4,FALSE)</f>
        <v/>
      </c>
      <c r="J17" s="28">
        <f>IFERROR(I17/G17,0)</f>
        <v/>
      </c>
      <c r="K17" s="46">
        <f>I17+'Jan 7 - Jan 13'!I17</f>
        <v/>
      </c>
      <c r="L17" s="89">
        <f>IFERROR(K17/SUM(G17),0)</f>
        <v/>
      </c>
      <c r="M17" s="73" t="n">
        <v>15270.75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baseColWidth="8" defaultColWidth="9.33203125" defaultRowHeight="14.4" outlineLevelRow="1"/>
  <cols>
    <col width="20.44140625" customWidth="1" style="69" min="1" max="1"/>
    <col width="15.6640625" customWidth="1" style="69" min="2" max="4"/>
    <col width="12.6640625" customWidth="1" style="69" min="5" max="5"/>
    <col width="15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31">
        <f>(((F4-D4)/D4))</f>
        <v/>
      </c>
      <c r="F2" s="1" t="n"/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3" t="inlineStr">
        <is>
          <t>% to LY</t>
        </is>
      </c>
      <c r="F3" s="11" t="inlineStr">
        <is>
          <t>T/over Net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SUM(B6:B17)</f>
        <v/>
      </c>
      <c r="C4" s="3">
        <f>SUM(C6:C17)</f>
        <v/>
      </c>
      <c r="D4" s="3">
        <f>SUM(D6:D17)</f>
        <v/>
      </c>
      <c r="E4" s="90">
        <f>IFERROR((SUM(F4-D4)/D4),0)</f>
        <v/>
      </c>
      <c r="F4" s="66">
        <f>SUM(F6:F17)</f>
        <v/>
      </c>
      <c r="G4" s="66">
        <f>SUM(G6:G17)</f>
        <v/>
      </c>
      <c r="H4" s="85">
        <f>AVERAGE(H5:H17)</f>
        <v/>
      </c>
      <c r="I4" s="88">
        <f>SUM(I6:I17)</f>
        <v/>
      </c>
      <c r="J4" s="28">
        <f>IFERROR(I4/G4,0)</f>
        <v/>
      </c>
      <c r="K4" s="46">
        <f>SUM(K6:K17)</f>
        <v/>
      </c>
      <c r="L4" s="89">
        <f>IFERROR(K4/SUM(G4),0)</f>
        <v/>
      </c>
      <c r="M4" s="66">
        <f>SUM(M6:M17)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86">
        <f>IFERROR((SUM(F5-D5)/D5),0)</f>
        <v/>
      </c>
      <c r="F5" s="67" t="n"/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F6*1.15</f>
        <v/>
      </c>
      <c r="C6" s="18" t="n">
        <v>287969.3725</v>
      </c>
      <c r="D6" s="73" t="n">
        <v>219701.61</v>
      </c>
      <c r="E6" s="86">
        <f>IFERROR((SUM(F6-D6)/D6),0)</f>
        <v/>
      </c>
      <c r="F6" s="73" t="n">
        <v>254835.6</v>
      </c>
      <c r="G6" s="74" t="n">
        <v>1945</v>
      </c>
      <c r="H6" s="63">
        <f>IFERROR(B6/G6,0)</f>
        <v/>
      </c>
      <c r="I6" s="61" t="n">
        <v>68</v>
      </c>
      <c r="J6" s="28">
        <f>IFERROR(I6/G6,0)</f>
        <v/>
      </c>
      <c r="K6" s="46">
        <f>I6+'Jan 7 - Jan 13'!I6+'Jan 14 - Jan 20'!I6</f>
        <v/>
      </c>
      <c r="L6" s="89">
        <f>IFERROR(K6/SUM(G6),0)</f>
        <v/>
      </c>
      <c r="M6" s="73" t="n">
        <v>11987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F7*1.15</f>
        <v/>
      </c>
      <c r="C7" s="18" t="n">
        <v>230914.549</v>
      </c>
      <c r="D7" s="73" t="n">
        <v>194235.3</v>
      </c>
      <c r="E7" s="86">
        <f>IFERROR((SUM(F7-D7)/D7),0)</f>
        <v/>
      </c>
      <c r="F7" s="73" t="n">
        <v>191397.82</v>
      </c>
      <c r="G7" s="74" t="n">
        <v>1392</v>
      </c>
      <c r="H7" s="63">
        <f>IFERROR(B7/G7,0)</f>
        <v/>
      </c>
      <c r="I7" s="61" t="n">
        <v>72</v>
      </c>
      <c r="J7" s="28">
        <f>IFERROR(I7/G7,0)</f>
        <v/>
      </c>
      <c r="K7" s="46">
        <f>I7+'Jan 7 - Jan 13'!I7+'Jan 14 - Jan 20'!I7</f>
        <v/>
      </c>
      <c r="L7" s="89">
        <f>IFERROR(K7/SUM(G7),0)</f>
        <v/>
      </c>
      <c r="M7" s="73" t="n">
        <v>12041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F8*1.15</f>
        <v/>
      </c>
      <c r="C8" s="18" t="n">
        <v>89672.08949999999</v>
      </c>
      <c r="D8" s="73" t="n">
        <v>103193.47</v>
      </c>
      <c r="E8" s="86">
        <f>IFERROR((SUM(F8-D8)/D8),0)</f>
        <v/>
      </c>
      <c r="F8" s="73" t="n">
        <v>86713.33</v>
      </c>
      <c r="G8" s="74" t="n">
        <v>610</v>
      </c>
      <c r="H8" s="63">
        <f>IFERROR(B8/G8,0)</f>
        <v/>
      </c>
      <c r="I8" s="61" t="n">
        <v>43</v>
      </c>
      <c r="J8" s="28">
        <f>IFERROR(I8/G8,0)</f>
        <v/>
      </c>
      <c r="K8" s="46">
        <f>I8+'Jan 7 - Jan 13'!I8+'Jan 14 - Jan 20'!I8</f>
        <v/>
      </c>
      <c r="L8" s="89">
        <f>IFERROR(K8/SUM(G8),0)</f>
        <v/>
      </c>
      <c r="M8" s="73" t="n">
        <v>3468.2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F9*1.15</f>
        <v/>
      </c>
      <c r="C9" s="18" t="n">
        <v>330754.1334999999</v>
      </c>
      <c r="D9" s="73" t="n">
        <v>314312.23</v>
      </c>
      <c r="E9" s="86">
        <f>IFERROR((SUM(F9-D9)/D9),0)</f>
        <v/>
      </c>
      <c r="F9" s="73" t="n">
        <v>328134.63</v>
      </c>
      <c r="G9" s="74" t="n">
        <v>2326</v>
      </c>
      <c r="H9" s="63">
        <f>IFERROR(B9/G9,0)</f>
        <v/>
      </c>
      <c r="I9" s="61" t="n">
        <v>123</v>
      </c>
      <c r="J9" s="28">
        <f>IFERROR(I9/G9,0)</f>
        <v/>
      </c>
      <c r="K9" s="46">
        <f>I9+'Jan 7 - Jan 13'!I9+'Jan 14 - Jan 20'!I9</f>
        <v/>
      </c>
      <c r="L9" s="89">
        <f>IFERROR(K9/SUM(G9),0)</f>
        <v/>
      </c>
      <c r="M9" s="73" t="n">
        <v>16952.15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F10*1.15</f>
        <v/>
      </c>
      <c r="C10" s="18" t="n">
        <v>152258.2175</v>
      </c>
      <c r="D10" s="73" t="n">
        <v>144422.1</v>
      </c>
      <c r="E10" s="86">
        <f>IFERROR((SUM(F10-D10)/D10),0)</f>
        <v/>
      </c>
      <c r="F10" s="73" t="n">
        <v>144600.03</v>
      </c>
      <c r="G10" s="74" t="n">
        <v>1010</v>
      </c>
      <c r="H10" s="63">
        <f>IFERROR(B10/G10,0)</f>
        <v/>
      </c>
      <c r="I10" s="61" t="n">
        <v>45</v>
      </c>
      <c r="J10" s="28">
        <f>IFERROR(I10/G10,0)</f>
        <v/>
      </c>
      <c r="K10" s="46">
        <f>I10+'Jan 7 - Jan 13'!I10+'Jan 14 - Jan 20'!I10</f>
        <v/>
      </c>
      <c r="L10" s="89">
        <f>IFERROR(K10/SUM(G10),0)</f>
        <v/>
      </c>
      <c r="M10" s="73" t="n">
        <v>10269.14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F11*1.15</f>
        <v/>
      </c>
      <c r="C11" s="18" t="n">
        <v>360615.8845</v>
      </c>
      <c r="D11" s="73" t="n">
        <v>328278.32</v>
      </c>
      <c r="E11" s="86">
        <f>IFERROR((SUM(F11-D11)/D11),0)</f>
        <v/>
      </c>
      <c r="F11" s="73" t="n">
        <v>317233.92</v>
      </c>
      <c r="G11" s="74" t="n">
        <v>2214</v>
      </c>
      <c r="H11" s="63">
        <f>IFERROR(B11/G11,0)</f>
        <v/>
      </c>
      <c r="I11" s="61" t="n">
        <v>112</v>
      </c>
      <c r="J11" s="28">
        <f>IFERROR(I11/G11,0)</f>
        <v/>
      </c>
      <c r="K11" s="46">
        <f>I11+'Jan 7 - Jan 13'!I11+'Jan 14 - Jan 20'!I11</f>
        <v/>
      </c>
      <c r="L11" s="89">
        <f>IFERROR(K11/SUM(G11),0)</f>
        <v/>
      </c>
      <c r="M11" s="73" t="n">
        <v>17882.4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F12*1.15</f>
        <v/>
      </c>
      <c r="C12" s="18" t="n">
        <v>160961.82</v>
      </c>
      <c r="D12" s="73" t="n">
        <v>137551.1</v>
      </c>
      <c r="E12" s="86">
        <f>IFERROR((SUM(F12-D12)/D12),0)</f>
        <v/>
      </c>
      <c r="F12" s="73" t="n">
        <v>152846.04</v>
      </c>
      <c r="G12" s="74" t="n">
        <v>1510</v>
      </c>
      <c r="H12" s="63">
        <f>IFERROR(B12/G12,0)</f>
        <v/>
      </c>
      <c r="I12" s="61" t="n">
        <v>50</v>
      </c>
      <c r="J12" s="28">
        <f>IFERROR(I12/G12,0)</f>
        <v/>
      </c>
      <c r="K12" s="46">
        <f>I12+'Jan 7 - Jan 13'!I12+'Jan 14 - Jan 20'!I12</f>
        <v/>
      </c>
      <c r="L12" s="89">
        <f>IFERROR(K12/SUM(G12),0)</f>
        <v/>
      </c>
      <c r="M12" s="73" t="n">
        <v>14918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F13*1.15</f>
        <v/>
      </c>
      <c r="C13" s="18" t="n">
        <v>228651.5445</v>
      </c>
      <c r="D13" s="73" t="n">
        <v>191786</v>
      </c>
      <c r="E13" s="86">
        <f>IFERROR((SUM(F13-D13)/D13),0)</f>
        <v/>
      </c>
      <c r="F13" s="73" t="n">
        <v>243010.12</v>
      </c>
      <c r="G13" s="74" t="n">
        <v>1942</v>
      </c>
      <c r="H13" s="63">
        <f>IFERROR(B13/G13,0)</f>
        <v/>
      </c>
      <c r="I13" s="61" t="n">
        <v>101</v>
      </c>
      <c r="J13" s="28">
        <f>IFERROR(I13/G13,0)</f>
        <v/>
      </c>
      <c r="K13" s="46">
        <f>I13+'Jan 7 - Jan 13'!I13+'Jan 14 - Jan 20'!I13</f>
        <v/>
      </c>
      <c r="L13" s="89">
        <f>IFERROR(K13/SUM(G13),0)</f>
        <v/>
      </c>
      <c r="M13" s="73" t="n">
        <v>9133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F14*1.15</f>
        <v/>
      </c>
      <c r="C14" s="18" t="n">
        <v>88348.49699999999</v>
      </c>
      <c r="D14" s="73" t="n">
        <v>80519.56</v>
      </c>
      <c r="E14" s="86">
        <f>IFERROR((SUM(F14-D14)/D14),0)</f>
        <v/>
      </c>
      <c r="F14" s="73" t="n">
        <v>109903.9</v>
      </c>
      <c r="G14" s="74" t="n">
        <v>534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</f>
        <v/>
      </c>
      <c r="L14" s="89">
        <f>IFERROR(K14/SUM(G14),0)</f>
        <v/>
      </c>
      <c r="M14" s="73" t="n">
        <v>5759.5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F15*1.15</f>
        <v/>
      </c>
      <c r="C15" s="18" t="n">
        <v>217751.304</v>
      </c>
      <c r="D15" s="73" t="n">
        <v>136549.79</v>
      </c>
      <c r="E15" s="86">
        <f>IFERROR((SUM(F15-D15)/D15),0)</f>
        <v/>
      </c>
      <c r="F15" s="73" t="n">
        <v>166877.21</v>
      </c>
      <c r="G15" s="74" t="n">
        <v>1472</v>
      </c>
      <c r="H15" s="63">
        <f>IFERROR(B15/G15,0)</f>
        <v/>
      </c>
      <c r="I15" s="61" t="n">
        <v>80</v>
      </c>
      <c r="J15" s="28">
        <f>IFERROR(I15/G15,0)</f>
        <v/>
      </c>
      <c r="K15" s="46">
        <f>I15+'Jan 7 - Jan 13'!I15+'Jan 14 - Jan 20'!I15</f>
        <v/>
      </c>
      <c r="L15" s="89">
        <f>IFERROR(K15/SUM(G15),0)</f>
        <v/>
      </c>
      <c r="M15" s="73" t="n">
        <v>4340.5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F16*1.15</f>
        <v/>
      </c>
      <c r="C16" s="18" t="n">
        <v>140097.807</v>
      </c>
      <c r="D16" s="73" t="n">
        <v>135663.9</v>
      </c>
      <c r="E16" s="86">
        <f>IFERROR((SUM(F16-D16)/D16),0)</f>
        <v/>
      </c>
      <c r="F16" s="73" t="n">
        <v>125945.97</v>
      </c>
      <c r="G16" s="74" t="n">
        <v>794</v>
      </c>
      <c r="H16" s="63">
        <f>IFERROR(B16/G16,0)</f>
        <v/>
      </c>
      <c r="I16" s="61" t="n">
        <v>35</v>
      </c>
      <c r="J16" s="28">
        <f>IFERROR(I16/G16,0)</f>
        <v/>
      </c>
      <c r="K16" s="46">
        <f>I16+'Jan 7 - Jan 13'!I16+'Jan 14 - Jan 20'!I16</f>
        <v/>
      </c>
      <c r="L16" s="89">
        <f>IFERROR(K16/SUM(G16),0)</f>
        <v/>
      </c>
      <c r="M16" s="73" t="n">
        <v>8271.75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F17*1.15</f>
        <v/>
      </c>
      <c r="C17" s="18" t="n">
        <v>228200.0775</v>
      </c>
      <c r="D17" s="73" t="n">
        <v>258449.96</v>
      </c>
      <c r="E17" s="86">
        <f>IFERROR((SUM(F17-D17)/D17),0)</f>
        <v/>
      </c>
      <c r="F17" s="73" t="n">
        <v>206751.49</v>
      </c>
      <c r="G17" s="74" t="n">
        <v>1447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</f>
        <v/>
      </c>
      <c r="L17" s="89">
        <f>IFERROR(K17/SUM(G17),0)</f>
        <v/>
      </c>
      <c r="M17" s="73" t="n">
        <v>16917.45</v>
      </c>
    </row>
    <row r="18" customFormat="1" s="70">
      <c r="A18" s="81" t="n"/>
      <c r="B18" s="81" t="n"/>
      <c r="C18" s="81" t="n"/>
      <c r="D18" s="81" t="n"/>
      <c r="E18" s="81" t="n"/>
      <c r="F18" s="395" t="n"/>
      <c r="G18" s="396" t="n"/>
      <c r="H18" s="397" t="n"/>
      <c r="I18" s="91" t="inlineStr">
        <is>
          <t>.</t>
        </is>
      </c>
      <c r="J18" s="397" t="n"/>
      <c r="K18" s="397" t="n"/>
      <c r="L18" s="397" t="n"/>
      <c r="M18" s="397" t="n"/>
    </row>
    <row r="19" customFormat="1" s="70">
      <c r="A19" s="81" t="n"/>
      <c r="B19" s="81" t="n"/>
      <c r="C19" s="81" t="n"/>
      <c r="D19" s="81" t="n"/>
      <c r="E19" s="81" t="n"/>
      <c r="F19" s="83" t="n"/>
      <c r="G19" s="82" t="n"/>
      <c r="H19" s="81" t="n"/>
      <c r="I19" s="81" t="n"/>
      <c r="J19" s="81" t="n"/>
      <c r="K19" s="81" t="n"/>
      <c r="L19" s="81" t="n"/>
      <c r="M19" s="81" t="n"/>
    </row>
    <row r="20" customFormat="1" s="70">
      <c r="A20" s="81" t="n"/>
      <c r="B20" s="81" t="n"/>
      <c r="C20" s="81" t="n"/>
      <c r="D20" s="81" t="n"/>
      <c r="E20" s="81" t="n"/>
      <c r="F20" s="83" t="n"/>
      <c r="G20" s="82" t="n"/>
      <c r="H20" s="81" t="n"/>
      <c r="I20" s="81" t="n"/>
      <c r="J20" s="81" t="n"/>
      <c r="K20" s="81" t="n"/>
      <c r="L20" s="81" t="n"/>
      <c r="M20" s="81" t="n"/>
    </row>
    <row r="21" ht="15" customFormat="1" customHeight="1" s="70">
      <c r="A21" s="81" t="n"/>
      <c r="B21" s="81" t="n"/>
      <c r="C21" s="81" t="n"/>
      <c r="D21" s="81" t="n"/>
      <c r="E21" s="81" t="n"/>
      <c r="F21" s="83" t="n"/>
      <c r="G21" s="82" t="n"/>
      <c r="H21" s="81" t="n"/>
      <c r="I21" s="81" t="n"/>
      <c r="J21" s="81" t="n"/>
      <c r="K21" s="81" t="n"/>
      <c r="L21" s="81" t="n"/>
      <c r="M21" s="27" t="n"/>
    </row>
    <row r="22" customFormat="1" s="70">
      <c r="A22" s="81" t="n"/>
      <c r="B22" s="81" t="n"/>
      <c r="C22" s="81" t="n"/>
      <c r="D22" s="81" t="n"/>
      <c r="E22" s="81" t="n"/>
      <c r="F22" s="83" t="n"/>
      <c r="G22" s="82" t="n"/>
      <c r="H22" s="81" t="n"/>
      <c r="I22" s="81" t="n"/>
      <c r="J22" s="81" t="n"/>
      <c r="K22" s="81" t="n"/>
      <c r="L22" s="81" t="n"/>
      <c r="M22" s="81" t="n"/>
    </row>
    <row r="23" customFormat="1" s="70">
      <c r="A23" s="81" t="n"/>
      <c r="B23" s="81" t="n"/>
      <c r="C23" s="81" t="n"/>
      <c r="D23" s="81" t="n"/>
      <c r="E23" s="81" t="n"/>
      <c r="F23" s="83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1" t="n"/>
      <c r="F24" s="83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1" t="n"/>
      <c r="F25" s="83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1" t="n"/>
      <c r="F26" s="83" t="n"/>
      <c r="G26" s="82" t="n"/>
      <c r="H26" s="81" t="n"/>
      <c r="I26" s="81" t="n"/>
      <c r="J26" s="81" t="n"/>
      <c r="K26" s="81" t="n"/>
      <c r="L26" s="81" t="n"/>
      <c r="M26" s="81" t="n"/>
    </row>
  </sheetData>
  <conditionalFormatting sqref="B6:M17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71"/>
  <drawing r:id="rId1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9.33203125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3">
        <f>SUM(B6:B18)</f>
        <v/>
      </c>
      <c r="C4" s="3">
        <f>SUM(C6:C18)</f>
        <v/>
      </c>
      <c r="D4" s="3">
        <f>SUM(D6:D18)</f>
        <v/>
      </c>
      <c r="E4" s="66">
        <f>SUM(E6:E18)</f>
        <v/>
      </c>
      <c r="F4" s="508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293060.94</v>
      </c>
      <c r="D6" s="73" t="n">
        <v>231853.84</v>
      </c>
      <c r="E6" s="73" t="n">
        <v>234881.47</v>
      </c>
      <c r="F6" s="86">
        <f>IFERROR((SUM(E6-D6)/D6),0)</f>
        <v/>
      </c>
      <c r="G6" s="74" t="n">
        <v>1819</v>
      </c>
      <c r="H6" s="63">
        <f>IFERROR(B6/G6,0)</f>
        <v/>
      </c>
      <c r="I6" s="61" t="n">
        <v>71</v>
      </c>
      <c r="J6" s="28">
        <f>IFERROR(I6/G6,0)</f>
        <v/>
      </c>
      <c r="K6" s="46">
        <f>I6+'Jan 7 - Jan 13'!I6+'Jan 14 - Jan 20'!I6+'Jan 21 - Jan 27'!I6</f>
        <v/>
      </c>
      <c r="L6" s="89">
        <f>IFERROR(K6/SUM(G6),0)</f>
        <v/>
      </c>
      <c r="M6" s="73" t="n">
        <v>10153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220107.493</v>
      </c>
      <c r="D7" s="73" t="n">
        <v>187339.38</v>
      </c>
      <c r="E7" s="73" t="n">
        <v>172917.81</v>
      </c>
      <c r="F7" s="86">
        <f>IFERROR((SUM(E7-D7)/D7),0)</f>
        <v/>
      </c>
      <c r="G7" s="74" t="n">
        <v>1364</v>
      </c>
      <c r="H7" s="63">
        <f>IFERROR(B7/G7,0)</f>
        <v/>
      </c>
      <c r="I7" s="61" t="n">
        <v>95</v>
      </c>
      <c r="J7" s="28">
        <f>IFERROR(I7/G7,0)</f>
        <v/>
      </c>
      <c r="K7" s="46">
        <f>I7+'Jan 7 - Jan 13'!I7+'Jan 14 - Jan 20'!I7+'Jan 21 - Jan 27'!I7</f>
        <v/>
      </c>
      <c r="L7" s="89">
        <f>IFERROR(K7/SUM(G7),0)</f>
        <v/>
      </c>
      <c r="M7" s="73" t="n">
        <v>10205.1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99720.32949999999</v>
      </c>
      <c r="D8" s="73" t="n">
        <v>120462.74</v>
      </c>
      <c r="E8" s="73" t="n">
        <v>100729.45</v>
      </c>
      <c r="F8" s="86">
        <f>IFERROR((SUM(E8-D8)/D8),0)</f>
        <v/>
      </c>
      <c r="G8" s="74" t="n">
        <v>745</v>
      </c>
      <c r="H8" s="63">
        <f>IFERROR(B8/G8,0)</f>
        <v/>
      </c>
      <c r="I8" s="61" t="n">
        <v>50</v>
      </c>
      <c r="J8" s="28">
        <f>IFERROR(I8/G8,0)</f>
        <v/>
      </c>
      <c r="K8" s="46">
        <f>I8+'Jan 7 - Jan 13'!I8+'Jan 14 - Jan 20'!I8+'Jan 21 - Jan 27'!I8</f>
        <v/>
      </c>
      <c r="L8" s="89">
        <f>IFERROR(K8/SUM(G8),0)</f>
        <v/>
      </c>
      <c r="M8" s="73" t="n">
        <v>6021.5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377354.8245</v>
      </c>
      <c r="D9" s="73" t="n">
        <v>313880.02</v>
      </c>
      <c r="E9" s="73" t="n">
        <v>329808.99</v>
      </c>
      <c r="F9" s="86">
        <f>IFERROR((SUM(E9-D9)/D9),0)</f>
        <v/>
      </c>
      <c r="G9" s="74" t="n">
        <v>2523</v>
      </c>
      <c r="H9" s="63">
        <f>IFERROR(B9/G9,0)</f>
        <v/>
      </c>
      <c r="I9" s="61" t="n">
        <v>114</v>
      </c>
      <c r="J9" s="28">
        <f>IFERROR(I9/G9,0)</f>
        <v/>
      </c>
      <c r="K9" s="46">
        <f>I9+'Jan 7 - Jan 13'!I9+'Jan 14 - Jan 20'!I9+'Jan 21 - Jan 27'!I9</f>
        <v/>
      </c>
      <c r="L9" s="89">
        <f>IFERROR(K9/SUM(G9),0)</f>
        <v/>
      </c>
      <c r="M9" s="73" t="n">
        <v>17266.4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166290.0345</v>
      </c>
      <c r="D10" s="73" t="n">
        <v>165093.83</v>
      </c>
      <c r="E10" s="73" t="n">
        <v>149771.03</v>
      </c>
      <c r="F10" s="86">
        <f>IFERROR((SUM(E10-D10)/D10),0)</f>
        <v/>
      </c>
      <c r="G10" s="74" t="n">
        <v>1045</v>
      </c>
      <c r="H10" s="63">
        <f>IFERROR(B10/G10,0)</f>
        <v/>
      </c>
      <c r="I10" s="61" t="n">
        <v>60</v>
      </c>
      <c r="J10" s="28">
        <f>IFERROR(I10/G10,0)</f>
        <v/>
      </c>
      <c r="K10" s="46">
        <f>I10+'Jan 7 - Jan 13'!I10+'Jan 14 - Jan 20'!I10+'Jan 21 - Jan 27'!I10</f>
        <v/>
      </c>
      <c r="L10" s="89">
        <f>IFERROR(K10/SUM(G10),0)</f>
        <v/>
      </c>
      <c r="M10" s="73" t="n">
        <v>9573.049999999999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364819.008</v>
      </c>
      <c r="D11" s="73" t="n">
        <v>315511.51</v>
      </c>
      <c r="E11" s="73" t="n">
        <v>335261.97</v>
      </c>
      <c r="F11" s="86">
        <f>IFERROR((SUM(E11-D11)/D11),0)</f>
        <v/>
      </c>
      <c r="G11" s="74" t="n">
        <v>2286</v>
      </c>
      <c r="H11" s="63">
        <f>IFERROR(B11/G11,0)</f>
        <v/>
      </c>
      <c r="I11" s="61" t="n">
        <v>101</v>
      </c>
      <c r="J11" s="28">
        <f>IFERROR(I11/G11,0)</f>
        <v/>
      </c>
      <c r="K11" s="46">
        <f>I11+'Jan 7 - Jan 13'!I11+'Jan 14 - Jan 20'!I11+'Jan 21 - Jan 27'!I11</f>
        <v/>
      </c>
      <c r="L11" s="89">
        <f>IFERROR(K11/SUM(G11),0)</f>
        <v/>
      </c>
      <c r="M11" s="73" t="n">
        <v>21725.95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175772.946</v>
      </c>
      <c r="D12" s="73" t="n">
        <v>147369.48</v>
      </c>
      <c r="E12" s="73" t="n">
        <v>154730.66</v>
      </c>
      <c r="F12" s="86">
        <f>IFERROR((SUM(E12-D12)/D12),0)</f>
        <v/>
      </c>
      <c r="G12" s="74" t="n">
        <v>1332</v>
      </c>
      <c r="H12" s="63">
        <f>IFERROR(B12/G12,0)</f>
        <v/>
      </c>
      <c r="I12" s="61" t="n">
        <v>53</v>
      </c>
      <c r="J12" s="28">
        <f>IFERROR(I12/G12,0)</f>
        <v/>
      </c>
      <c r="K12" s="46">
        <f>I12+'Jan 7 - Jan 13'!I12+'Jan 14 - Jan 20'!I12+'Jan 21 - Jan 27'!I12</f>
        <v/>
      </c>
      <c r="L12" s="89">
        <f>IFERROR(K12/SUM(G12),0)</f>
        <v/>
      </c>
      <c r="M12" s="73" t="n">
        <v>15582.1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279461.638</v>
      </c>
      <c r="D13" s="73" t="n">
        <v>244283.92</v>
      </c>
      <c r="E13" s="73" t="n">
        <v>227584.22</v>
      </c>
      <c r="F13" s="86">
        <f>IFERROR((SUM(E13-D13)/D13),0)</f>
        <v/>
      </c>
      <c r="G13" s="74" t="n">
        <v>1760</v>
      </c>
      <c r="H13" s="63">
        <f>IFERROR(B13/G13,0)</f>
        <v/>
      </c>
      <c r="I13" s="61" t="n">
        <v>83</v>
      </c>
      <c r="J13" s="28">
        <f>IFERROR(I13/G13,0)</f>
        <v/>
      </c>
      <c r="K13" s="46">
        <f>I13+'Jan 7 - Jan 13'!I13+'Jan 14 - Jan 20'!I13+'Jan 21 - Jan 27'!I13</f>
        <v/>
      </c>
      <c r="L13" s="89">
        <f>IFERROR(K13/SUM(G13),0)</f>
        <v/>
      </c>
      <c r="M13" s="73" t="n">
        <v>10328.4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126389.485</v>
      </c>
      <c r="D14" s="73" t="n">
        <v>80519.56</v>
      </c>
      <c r="E14" s="73" t="n">
        <v>67469.99000000001</v>
      </c>
      <c r="F14" s="86">
        <f>IFERROR((SUM(E14-D14)/D14),0)</f>
        <v/>
      </c>
      <c r="G14" s="74" t="n">
        <v>369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</f>
        <v/>
      </c>
      <c r="L14" s="89">
        <f>IFERROR(K14/SUM(G14),0)</f>
        <v/>
      </c>
      <c r="M14" s="73" t="n">
        <v>5619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191908.7915</v>
      </c>
      <c r="D15" s="73" t="n">
        <v>140544.81</v>
      </c>
      <c r="E15" s="73" t="n">
        <v>165985.17</v>
      </c>
      <c r="F15" s="86">
        <f>IFERROR((SUM(E15-D15)/D15),0)</f>
        <v/>
      </c>
      <c r="G15" s="74" t="n">
        <v>1518</v>
      </c>
      <c r="H15" s="63">
        <f>IFERROR(B15/G15,0)</f>
        <v/>
      </c>
      <c r="I15" s="61" t="n">
        <v>85</v>
      </c>
      <c r="J15" s="28">
        <f>IFERROR(I15/G15,0)</f>
        <v/>
      </c>
      <c r="K15" s="46">
        <f>I15+'Jan 7 - Jan 13'!I15+'Jan 14 - Jan 20'!I15+'Jan 21 - Jan 27'!I15</f>
        <v/>
      </c>
      <c r="L15" s="89">
        <f>IFERROR(K15/SUM(G15),0)</f>
        <v/>
      </c>
      <c r="M15" s="73" t="n">
        <v>6405.15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144837.8655</v>
      </c>
      <c r="D16" s="73" t="n">
        <v>118509.43</v>
      </c>
      <c r="E16" s="73" t="n">
        <v>126081.73</v>
      </c>
      <c r="F16" s="86">
        <f>IFERROR((SUM(E16-D16)/D16),0)</f>
        <v/>
      </c>
      <c r="G16" s="74" t="n">
        <v>904</v>
      </c>
      <c r="H16" s="63">
        <f>IFERROR(B16/G16,0)</f>
        <v/>
      </c>
      <c r="I16" s="61" t="n">
        <v>49</v>
      </c>
      <c r="J16" s="28">
        <f>IFERROR(I16/G16,0)</f>
        <v/>
      </c>
      <c r="K16" s="46">
        <f>I16+'Jan 7 - Jan 13'!I16+'Jan 14 - Jan 20'!I16+'Jan 21 - Jan 27'!I16</f>
        <v/>
      </c>
      <c r="L16" s="89">
        <f>IFERROR(K16/SUM(G16),0)</f>
        <v/>
      </c>
      <c r="M16" s="73" t="n">
        <v>7827.05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237764.2135</v>
      </c>
      <c r="D17" s="73" t="n">
        <v>218493.46</v>
      </c>
      <c r="E17" s="73" t="n">
        <v>206209.12</v>
      </c>
      <c r="F17" s="86">
        <f>IFERROR((SUM(E17-D17)/D17),0)</f>
        <v/>
      </c>
      <c r="G17" s="74" t="n">
        <v>1405</v>
      </c>
      <c r="H17" s="63">
        <f>IFERROR(B17/G17,0)</f>
        <v/>
      </c>
      <c r="I17" s="61" t="n">
        <v>130</v>
      </c>
      <c r="J17" s="28">
        <f>IFERROR(I17/G17,0)</f>
        <v/>
      </c>
      <c r="K17" s="46">
        <f>I17+'Jan 7 - Jan 13'!I17+'Jan 14 - Jan 20'!I17+'Jan 21 - Jan 27'!I17</f>
        <v/>
      </c>
      <c r="L17" s="89">
        <f>IFERROR(K17/SUM(G17),0)</f>
        <v/>
      </c>
      <c r="M17" s="73" t="n">
        <v>16140.55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0</v>
      </c>
      <c r="D18" s="73" t="n">
        <v>0</v>
      </c>
      <c r="E18" s="73" t="n">
        <v>51408.8</v>
      </c>
      <c r="F18" s="86">
        <f>IFERROR((SUM(E18-D18)/D18),0)</f>
        <v/>
      </c>
      <c r="G18" s="74" t="n">
        <v>612</v>
      </c>
      <c r="H18" s="63">
        <f>IFERROR(B18/G18,0)</f>
        <v/>
      </c>
      <c r="I18" s="61" t="n">
        <v>0</v>
      </c>
      <c r="J18" s="28">
        <f>IFERROR(I18/G18,0)</f>
        <v/>
      </c>
      <c r="K18" s="46" t="n">
        <v>0</v>
      </c>
      <c r="L18" s="89">
        <f>IFERROR(K18/SUM(G18),0)</f>
        <v/>
      </c>
      <c r="M18" s="73" t="n">
        <v>41484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8"/>
  <drawing r:id="rId1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5"/>
    <col width="12.6640625" customWidth="1" style="69" min="6" max="6"/>
    <col width="14.6640625" bestFit="1" customWidth="1" style="69" min="7" max="7"/>
    <col width="13.44140625" customWidth="1" style="69" min="8" max="8"/>
    <col width="9.6640625" customWidth="1" style="69" min="9" max="10"/>
    <col width="11" bestFit="1" customWidth="1" style="69" min="11" max="11"/>
    <col width="15.44140625" customWidth="1" style="69" min="12" max="12"/>
    <col width="15.6640625" customWidth="1" style="69" min="13" max="13"/>
    <col width="17" customWidth="1" style="70" min="14" max="14"/>
    <col width="9.33203125" customWidth="1" style="70" min="15" max="18"/>
    <col width="9.33203125" customWidth="1" style="69" min="19" max="61"/>
    <col width="9.33203125" customWidth="1" style="69" min="62" max="16384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7" t="n"/>
      <c r="H1" s="7" t="n"/>
      <c r="I1" s="7" t="n"/>
      <c r="J1" s="7" t="n"/>
      <c r="K1" s="7" t="n"/>
      <c r="L1" s="7" t="n"/>
      <c r="M1" s="81" t="n"/>
      <c r="N1" s="9" t="n"/>
      <c r="O1" s="9" t="n"/>
      <c r="P1" s="9" t="n"/>
    </row>
    <row r="2" ht="15" customHeight="1" thickBot="1">
      <c r="A2" s="1" t="n"/>
      <c r="B2" s="1" t="n"/>
      <c r="C2" s="1" t="n"/>
      <c r="D2" s="1" t="n"/>
      <c r="E2" s="1" t="n"/>
      <c r="F2" s="31">
        <f>(((E4-E18)-D4)/D4)</f>
        <v/>
      </c>
      <c r="G2" s="34" t="n"/>
      <c r="H2" s="1" t="n"/>
      <c r="I2" s="1" t="n"/>
      <c r="J2" s="1" t="n"/>
      <c r="K2" s="1" t="n"/>
      <c r="L2" s="1" t="n"/>
      <c r="M2" s="81" t="n"/>
      <c r="N2" s="17" t="n"/>
      <c r="O2" s="9" t="n"/>
      <c r="P2" s="9" t="n"/>
    </row>
    <row r="3" ht="31.8" customHeight="1" thickBot="1">
      <c r="A3" s="2" t="n"/>
      <c r="B3" s="16" t="inlineStr">
        <is>
          <t>Turnover Gross</t>
        </is>
      </c>
      <c r="C3" s="15" t="inlineStr">
        <is>
          <t>LAST WEEK  (Gross)</t>
        </is>
      </c>
      <c r="D3" s="15" t="inlineStr">
        <is>
          <t>LAST YEAR (Net)</t>
        </is>
      </c>
      <c r="E3" s="11" t="inlineStr">
        <is>
          <t>T/over Net</t>
        </is>
      </c>
      <c r="F3" s="13" t="inlineStr">
        <is>
          <t>% to LY</t>
        </is>
      </c>
      <c r="G3" s="35" t="inlineStr">
        <is>
          <t>Covers</t>
        </is>
      </c>
      <c r="H3" s="11" t="inlineStr">
        <is>
          <t>Avg Spend</t>
        </is>
      </c>
      <c r="I3" s="15" t="inlineStr">
        <is>
          <t>PROMO Weekly</t>
        </is>
      </c>
      <c r="J3" s="15" t="inlineStr">
        <is>
          <t>% To Covers</t>
        </is>
      </c>
      <c r="K3" s="15" t="inlineStr">
        <is>
          <t>Promo to Date</t>
        </is>
      </c>
      <c r="L3" s="15" t="inlineStr">
        <is>
          <t>% To Date</t>
        </is>
      </c>
      <c r="M3" s="41" t="inlineStr">
        <is>
          <t>Discounts</t>
        </is>
      </c>
      <c r="N3" s="23" t="n"/>
      <c r="O3" s="21" t="n"/>
      <c r="P3" s="22" t="n"/>
    </row>
    <row r="4" ht="20.25" customHeight="1" thickBot="1">
      <c r="A4" s="37" t="inlineStr">
        <is>
          <t>GROUP TOTAL</t>
        </is>
      </c>
      <c r="B4" s="98">
        <f>SUM(B6:B18)</f>
        <v/>
      </c>
      <c r="C4" s="98">
        <f>SUM(C6:C18)</f>
        <v/>
      </c>
      <c r="D4" s="98">
        <f>SUM(D6:D18)</f>
        <v/>
      </c>
      <c r="E4" s="97">
        <f>SUM(E6:E18)</f>
        <v/>
      </c>
      <c r="F4" s="90">
        <f>IFERROR((SUM(E4-D4)/D4),0)</f>
        <v/>
      </c>
      <c r="G4" s="66">
        <f>SUM(G6:G18)</f>
        <v/>
      </c>
      <c r="H4" s="85">
        <f>AVERAGE(H5:H18)</f>
        <v/>
      </c>
      <c r="I4" s="88">
        <f>SUM(I6:I18)</f>
        <v/>
      </c>
      <c r="J4" s="28">
        <f>IFERROR(I4/G4,0)</f>
        <v/>
      </c>
      <c r="K4" s="46">
        <f>SUM(K6:K18)</f>
        <v/>
      </c>
      <c r="L4" s="89">
        <f>IFERROR(K4/SUM(G4),0)</f>
        <v/>
      </c>
      <c r="M4" s="66">
        <f>SUM(M6:M18)</f>
        <v/>
      </c>
      <c r="N4" s="24" t="n"/>
      <c r="O4" s="9" t="n"/>
      <c r="P4" s="9" t="n"/>
    </row>
    <row r="5" hidden="1" outlineLevel="1" ht="15.6" customHeight="1">
      <c r="A5" s="38" t="inlineStr">
        <is>
          <t>Midrand</t>
        </is>
      </c>
      <c r="B5" s="5" t="n"/>
      <c r="C5" s="5" t="n"/>
      <c r="D5" s="67" t="n"/>
      <c r="E5" s="67" t="n"/>
      <c r="F5" s="86">
        <f>IFERROR((SUM(E5-D5)/D5),0)</f>
        <v/>
      </c>
      <c r="G5" s="68" t="n"/>
      <c r="H5" s="84" t="n"/>
      <c r="I5" s="68" t="n"/>
      <c r="J5" s="28">
        <f>IFERROR(I5/G5,0)</f>
        <v/>
      </c>
      <c r="K5" s="46">
        <f>I5+'Nov 19 - Nov 25'!I5+'Nov 26 - Dec 2'!I5+'Dec 3 - Dec 9'!I5+'Dec 10 - Dec 16'!I5+'Dec 17 - Dec 23'!I5+'Dec 24 - Dec 30'!I5</f>
        <v/>
      </c>
      <c r="L5" s="89">
        <f>IFERROR(K5/SUM(G5),0)</f>
        <v/>
      </c>
      <c r="M5" s="73" t="n"/>
      <c r="N5" s="25" t="n"/>
      <c r="O5" s="9" t="n"/>
      <c r="P5" s="9" t="n"/>
    </row>
    <row r="6" collapsed="1" ht="15.6" customHeight="1">
      <c r="A6" s="39" t="inlineStr">
        <is>
          <t>Irene Village</t>
        </is>
      </c>
      <c r="B6" s="18">
        <f>E6*1.15</f>
        <v/>
      </c>
      <c r="C6" s="18" t="n">
        <v>270113.6905</v>
      </c>
      <c r="D6" s="73" t="n">
        <v>208861.48</v>
      </c>
      <c r="E6" s="73" t="n">
        <v>243896.08</v>
      </c>
      <c r="F6" s="86">
        <f>IFERROR((SUM(E6-D6)/D6),0)</f>
        <v/>
      </c>
      <c r="G6" s="74" t="n">
        <v>1806</v>
      </c>
      <c r="H6" s="63">
        <f>IFERROR(B6/G6,0)</f>
        <v/>
      </c>
      <c r="I6" s="61" t="n">
        <v>49</v>
      </c>
      <c r="J6" s="28">
        <f>IFERROR(I6/G6,0)</f>
        <v/>
      </c>
      <c r="K6" s="46">
        <f>I6+'Jan 7 - Jan 13'!I6+'Jan 14 - Jan 20'!I6+'Jan 21 - Jan 27'!I6+'28 Jan - 3 Feb'!I6</f>
        <v/>
      </c>
      <c r="L6" s="89">
        <f>IFERROR(K6/SUM(G6),0)</f>
        <v/>
      </c>
      <c r="M6" s="73" t="n">
        <v>15736.7</v>
      </c>
      <c r="N6" s="26" t="n"/>
      <c r="O6" s="9" t="n"/>
      <c r="P6" s="9" t="n"/>
    </row>
    <row r="7" ht="15.6" customHeight="1">
      <c r="A7" s="39" t="inlineStr">
        <is>
          <t>Melrose Arch</t>
        </is>
      </c>
      <c r="B7" s="18">
        <f>E7*1.15</f>
        <v/>
      </c>
      <c r="C7" s="18" t="n">
        <v>198855.4815</v>
      </c>
      <c r="D7" s="73" t="n">
        <v>172993.67</v>
      </c>
      <c r="E7" s="73" t="n">
        <v>203529.46</v>
      </c>
      <c r="F7" s="86">
        <f>IFERROR((SUM(E7-D7)/D7),0)</f>
        <v/>
      </c>
      <c r="G7" s="74" t="n">
        <v>1703</v>
      </c>
      <c r="H7" s="63">
        <f>IFERROR(B7/G7,0)</f>
        <v/>
      </c>
      <c r="I7" s="61" t="n">
        <v>89</v>
      </c>
      <c r="J7" s="28">
        <f>IFERROR(I7/G7,0)</f>
        <v/>
      </c>
      <c r="K7" s="46">
        <f>I7+'Jan 7 - Jan 13'!I7+'Jan 14 - Jan 20'!I7+'Jan 21 - Jan 27'!I7+'28 Jan - 3 Feb'!I7</f>
        <v/>
      </c>
      <c r="L7" s="89">
        <f>IFERROR(K7/SUM(G7),0)</f>
        <v/>
      </c>
      <c r="M7" s="73" t="n">
        <v>12281</v>
      </c>
      <c r="N7" s="26" t="n"/>
      <c r="O7" s="9" t="n"/>
      <c r="P7" s="9" t="n"/>
    </row>
    <row r="8" ht="15.6" customHeight="1">
      <c r="A8" s="39" t="inlineStr">
        <is>
          <t>Melville</t>
        </is>
      </c>
      <c r="B8" s="18">
        <f>E8*1.15</f>
        <v/>
      </c>
      <c r="C8" s="18" t="n">
        <v>115838.8675</v>
      </c>
      <c r="D8" s="73" t="n">
        <v>103906.07</v>
      </c>
      <c r="E8" s="73" t="n">
        <v>83038.85000000001</v>
      </c>
      <c r="F8" s="86">
        <f>IFERROR((SUM(E8-D8)/D8),0)</f>
        <v/>
      </c>
      <c r="G8" s="74" t="n">
        <v>659</v>
      </c>
      <c r="H8" s="63">
        <f>IFERROR(B8/G8,0)</f>
        <v/>
      </c>
      <c r="I8" s="61" t="n">
        <v>29</v>
      </c>
      <c r="J8" s="28">
        <f>IFERROR(I8/G8,0)</f>
        <v/>
      </c>
      <c r="K8" s="46">
        <f>I8+'Jan 7 - Jan 13'!I8+'Jan 14 - Jan 20'!I8+'Jan 21 - Jan 27'!I8+'28 Jan - 3 Feb'!I8</f>
        <v/>
      </c>
      <c r="L8" s="89">
        <f>IFERROR(K8/SUM(G8),0)</f>
        <v/>
      </c>
      <c r="M8" s="73" t="n">
        <v>5326</v>
      </c>
      <c r="N8" s="26" t="n"/>
      <c r="O8" s="9" t="n"/>
      <c r="P8" s="9" t="n"/>
    </row>
    <row r="9" ht="15.6" customHeight="1">
      <c r="A9" s="39" t="inlineStr">
        <is>
          <t>Rosebank</t>
        </is>
      </c>
      <c r="B9" s="18">
        <f>E9*1.15</f>
        <v/>
      </c>
      <c r="C9" s="18" t="n">
        <v>379280.3385</v>
      </c>
      <c r="D9" s="73" t="n">
        <v>312117.29</v>
      </c>
      <c r="E9" s="73" t="n">
        <v>313205.83</v>
      </c>
      <c r="F9" s="86">
        <f>IFERROR((SUM(E9-D9)/D9),0)</f>
        <v/>
      </c>
      <c r="G9" s="74" t="n">
        <v>2537</v>
      </c>
      <c r="H9" s="63">
        <f>IFERROR(B9/G9,0)</f>
        <v/>
      </c>
      <c r="I9" s="61" t="n">
        <v>95</v>
      </c>
      <c r="J9" s="28">
        <f>IFERROR(I9/G9,0)</f>
        <v/>
      </c>
      <c r="K9" s="46">
        <f>I9+'Jan 7 - Jan 13'!I9+'Jan 14 - Jan 20'!I9+'Jan 21 - Jan 27'!I9+'28 Jan - 3 Feb'!I9</f>
        <v/>
      </c>
      <c r="L9" s="89">
        <f>IFERROR(K9/SUM(G9),0)</f>
        <v/>
      </c>
      <c r="M9" s="73" t="n">
        <v>17761.35</v>
      </c>
      <c r="N9" s="26" t="n"/>
      <c r="O9" s="9" t="n"/>
      <c r="P9" s="9" t="n"/>
    </row>
    <row r="10" ht="15.6" customFormat="1" customHeight="1" s="70">
      <c r="A10" s="39" t="inlineStr">
        <is>
          <t xml:space="preserve">Waterkloof </t>
        </is>
      </c>
      <c r="B10" s="18">
        <f>E10*1.15</f>
        <v/>
      </c>
      <c r="C10" s="18" t="n">
        <v>172236.6845</v>
      </c>
      <c r="D10" s="73" t="n">
        <v>142486.86</v>
      </c>
      <c r="E10" s="73" t="n">
        <v>149072.21</v>
      </c>
      <c r="F10" s="86">
        <f>IFERROR((SUM(E10-D10)/D10),0)</f>
        <v/>
      </c>
      <c r="G10" s="74" t="n">
        <v>1048</v>
      </c>
      <c r="H10" s="63">
        <f>IFERROR(B10/G10,0)</f>
        <v/>
      </c>
      <c r="I10" s="61" t="n">
        <v>51</v>
      </c>
      <c r="J10" s="28">
        <f>IFERROR(I10/G10,0)</f>
        <v/>
      </c>
      <c r="K10" s="46">
        <f>I10+'Jan 7 - Jan 13'!I10+'Jan 14 - Jan 20'!I10+'Jan 21 - Jan 27'!I10+'28 Jan - 3 Feb'!I10</f>
        <v/>
      </c>
      <c r="L10" s="89">
        <f>IFERROR(K10/SUM(G10),0)</f>
        <v/>
      </c>
      <c r="M10" s="73" t="n">
        <v>8842</v>
      </c>
      <c r="N10" s="26" t="n"/>
      <c r="O10" s="9" t="n"/>
      <c r="P10" s="9" t="n"/>
    </row>
    <row r="11" ht="15.6" customFormat="1" customHeight="1" s="70">
      <c r="A11" s="39" t="inlineStr">
        <is>
          <t>Eagles Landing</t>
        </is>
      </c>
      <c r="B11" s="18">
        <f>E11*1.15</f>
        <v/>
      </c>
      <c r="C11" s="18" t="n">
        <v>385551.2654999999</v>
      </c>
      <c r="D11" s="73" t="n">
        <v>300830.76</v>
      </c>
      <c r="E11" s="73" t="n">
        <v>329753.61</v>
      </c>
      <c r="F11" s="86">
        <f>IFERROR((SUM(E11-D11)/D11),0)</f>
        <v/>
      </c>
      <c r="G11" s="74" t="n">
        <v>2464</v>
      </c>
      <c r="H11" s="63">
        <f>IFERROR(B11/G11,0)</f>
        <v/>
      </c>
      <c r="I11" s="61" t="n">
        <v>150</v>
      </c>
      <c r="J11" s="28">
        <f>IFERROR(I11/G11,0)</f>
        <v/>
      </c>
      <c r="K11" s="46">
        <f>I11+'Jan 7 - Jan 13'!I11+'Jan 14 - Jan 20'!I11+'Jan 21 - Jan 27'!I11+'28 Jan - 3 Feb'!I11</f>
        <v/>
      </c>
      <c r="L11" s="89">
        <f>IFERROR(K11/SUM(G11),0)</f>
        <v/>
      </c>
      <c r="M11" s="73" t="n">
        <v>19883</v>
      </c>
      <c r="N11" s="26" t="n"/>
      <c r="O11" s="9" t="n"/>
      <c r="P11" s="9" t="n"/>
    </row>
    <row r="12" ht="15.6" customFormat="1" customHeight="1" s="70">
      <c r="A12" s="40" t="inlineStr">
        <is>
          <t>Stellenbosch</t>
        </is>
      </c>
      <c r="B12" s="18">
        <f>E12*1.15</f>
        <v/>
      </c>
      <c r="C12" s="18" t="n">
        <v>177940.259</v>
      </c>
      <c r="D12" s="73" t="n">
        <v>123636.69</v>
      </c>
      <c r="E12" s="73" t="n">
        <v>144397.12</v>
      </c>
      <c r="F12" s="86">
        <f>IFERROR((SUM(E12-D12)/D12),0)</f>
        <v/>
      </c>
      <c r="G12" s="74" t="n">
        <v>1251</v>
      </c>
      <c r="H12" s="63">
        <f>IFERROR(B12/G12,0)</f>
        <v/>
      </c>
      <c r="I12" s="61" t="n">
        <v>54</v>
      </c>
      <c r="J12" s="28">
        <f>IFERROR(I12/G12,0)</f>
        <v/>
      </c>
      <c r="K12" s="46">
        <f>I12+'Jan 7 - Jan 13'!I12+'Jan 14 - Jan 20'!I12+'Jan 21 - Jan 27'!I12+'28 Jan - 3 Feb'!I12</f>
        <v/>
      </c>
      <c r="L12" s="89">
        <f>IFERROR(K12/SUM(G12),0)</f>
        <v/>
      </c>
      <c r="M12" s="73" t="n">
        <v>13677.75</v>
      </c>
      <c r="N12" s="26" t="n"/>
      <c r="O12" s="9" t="n"/>
      <c r="P12" s="9" t="n"/>
    </row>
    <row r="13" ht="15.6" customFormat="1" customHeight="1" s="70">
      <c r="A13" s="40" t="inlineStr">
        <is>
          <t>Lynnwood</t>
        </is>
      </c>
      <c r="B13" s="18">
        <f>E13*1.15</f>
        <v/>
      </c>
      <c r="C13" s="18" t="n">
        <v>261721.853</v>
      </c>
      <c r="D13" s="73" t="n">
        <v>183248.35</v>
      </c>
      <c r="E13" s="73" t="n">
        <v>219176.66</v>
      </c>
      <c r="F13" s="86">
        <f>IFERROR((SUM(E13-D13)/D13),0)</f>
        <v/>
      </c>
      <c r="G13" s="74" t="n">
        <v>1774</v>
      </c>
      <c r="H13" s="63">
        <f>IFERROR(B13/G13,0)</f>
        <v/>
      </c>
      <c r="I13" s="61" t="n">
        <v>128</v>
      </c>
      <c r="J13" s="28">
        <f>IFERROR(I13/G13,0)</f>
        <v/>
      </c>
      <c r="K13" s="46">
        <f>I13+'Jan 7 - Jan 13'!I13+'Jan 14 - Jan 20'!I13+'Jan 21 - Jan 27'!I13+'28 Jan - 3 Feb'!I13</f>
        <v/>
      </c>
      <c r="L13" s="89">
        <f>IFERROR(K13/SUM(G13),0)</f>
        <v/>
      </c>
      <c r="M13" s="73" t="n">
        <v>9437</v>
      </c>
      <c r="N13" s="26" t="n"/>
      <c r="O13" s="9" t="n"/>
      <c r="P13" s="9" t="n"/>
    </row>
    <row r="14" ht="15.6" customFormat="1" customHeight="1" s="70">
      <c r="A14" s="40" t="inlineStr">
        <is>
          <t>Wellington</t>
        </is>
      </c>
      <c r="B14" s="18">
        <f>E14*1.15</f>
        <v/>
      </c>
      <c r="C14" s="18" t="n">
        <v>77590.48850000001</v>
      </c>
      <c r="D14" s="73" t="n">
        <v>76997.09</v>
      </c>
      <c r="E14" s="73" t="n">
        <v>92368.25</v>
      </c>
      <c r="F14" s="86">
        <f>IFERROR((SUM(E14-D14)/D14),0)</f>
        <v/>
      </c>
      <c r="G14" s="74" t="n">
        <v>579</v>
      </c>
      <c r="H14" s="63">
        <f>IFERROR(B14/G14,0)</f>
        <v/>
      </c>
      <c r="I14" s="61" t="n">
        <v>0</v>
      </c>
      <c r="J14" s="28">
        <f>IFERROR(I14/G14,0)</f>
        <v/>
      </c>
      <c r="K14" s="46">
        <f>I14+'Jan 7 - Jan 13'!I14+'Jan 14 - Jan 20'!I14+'Jan 21 - Jan 27'!I14+'28 Jan - 3 Feb'!I14</f>
        <v/>
      </c>
      <c r="L14" s="89">
        <f>IFERROR(K14/SUM(G14),0)</f>
        <v/>
      </c>
      <c r="M14" s="73" t="n">
        <v>7365.5</v>
      </c>
      <c r="N14" s="26" t="n"/>
      <c r="O14" s="9" t="n"/>
      <c r="P14" s="9" t="n"/>
    </row>
    <row r="15" ht="15.6" customFormat="1" customHeight="1" s="70">
      <c r="A15" s="40" t="inlineStr">
        <is>
          <t>Hartenbos</t>
        </is>
      </c>
      <c r="B15" s="18">
        <f>E15*1.15</f>
        <v/>
      </c>
      <c r="C15" s="18" t="n">
        <v>190882.9455</v>
      </c>
      <c r="D15" s="73" t="n">
        <v>162922.97</v>
      </c>
      <c r="E15" s="73" t="n">
        <v>175807.47</v>
      </c>
      <c r="F15" s="86">
        <f>IFERROR((SUM(E15-D15)/D15),0)</f>
        <v/>
      </c>
      <c r="G15" s="74" t="n">
        <v>1588</v>
      </c>
      <c r="H15" s="63">
        <f>IFERROR(B15/G15,0)</f>
        <v/>
      </c>
      <c r="I15" s="61" t="n">
        <v>86</v>
      </c>
      <c r="J15" s="28">
        <f>IFERROR(I15/G15,0)</f>
        <v/>
      </c>
      <c r="K15" s="46">
        <f>I15+'Jan 7 - Jan 13'!I15+'Jan 14 - Jan 20'!I15+'Jan 21 - Jan 27'!I15+'28 Jan - 3 Feb'!I15</f>
        <v/>
      </c>
      <c r="L15" s="89">
        <f>IFERROR(K15/SUM(G15),0)</f>
        <v/>
      </c>
      <c r="M15" s="73" t="n">
        <v>4615</v>
      </c>
      <c r="N15" s="9" t="n"/>
      <c r="O15" s="9" t="n"/>
      <c r="P15" s="9" t="n"/>
    </row>
    <row r="16" ht="15.6" customFormat="1" customHeight="1" s="70">
      <c r="A16" s="40" t="inlineStr">
        <is>
          <t>Kyalami Corner</t>
        </is>
      </c>
      <c r="B16" s="18">
        <f>E16*1.15</f>
        <v/>
      </c>
      <c r="C16" s="18" t="n">
        <v>144993.9895</v>
      </c>
      <c r="D16" s="73" t="n">
        <v>151395.24</v>
      </c>
      <c r="E16" s="73" t="n">
        <v>146823.91</v>
      </c>
      <c r="F16" s="86">
        <f>IFERROR((SUM(E16-D16)/D16),0)</f>
        <v/>
      </c>
      <c r="G16" s="74" t="n">
        <v>1068</v>
      </c>
      <c r="H16" s="63">
        <f>IFERROR(B16/G16,0)</f>
        <v/>
      </c>
      <c r="I16" s="61" t="n">
        <v>37</v>
      </c>
      <c r="J16" s="28">
        <f>IFERROR(I16/G16,0)</f>
        <v/>
      </c>
      <c r="K16" s="46">
        <f>I16+'Jan 7 - Jan 13'!I16+'Jan 14 - Jan 20'!I16+'Jan 21 - Jan 27'!I16+'28 Jan - 3 Feb'!I16</f>
        <v/>
      </c>
      <c r="L16" s="89">
        <f>IFERROR(K16/SUM(G16),0)</f>
        <v/>
      </c>
      <c r="M16" s="73" t="n">
        <v>11351.8</v>
      </c>
      <c r="N16" s="9" t="n"/>
      <c r="O16" s="9" t="n"/>
      <c r="P16" s="9" t="n"/>
    </row>
    <row r="17" ht="15.6" customFormat="1" customHeight="1" s="70">
      <c r="A17" s="40" t="inlineStr">
        <is>
          <t>Paulshof</t>
        </is>
      </c>
      <c r="B17" s="18">
        <f>E17*1.15</f>
        <v/>
      </c>
      <c r="C17" s="18" t="n">
        <v>237140.488</v>
      </c>
      <c r="D17" s="73" t="n">
        <v>216976.01</v>
      </c>
      <c r="E17" s="73" t="n">
        <v>203176.33</v>
      </c>
      <c r="F17" s="86">
        <f>IFERROR((SUM(E17-D17)/D17),0)</f>
        <v/>
      </c>
      <c r="G17" s="74" t="n">
        <v>1432</v>
      </c>
      <c r="H17" s="63">
        <f>IFERROR(B17/G17,0)</f>
        <v/>
      </c>
      <c r="I17" s="61" t="n">
        <v>128</v>
      </c>
      <c r="J17" s="28">
        <f>IFERROR(I17/G17,0)</f>
        <v/>
      </c>
      <c r="K17" s="46">
        <f>I17+'Jan 7 - Jan 13'!I17+'Jan 14 - Jan 20'!I17+'Jan 21 - Jan 27'!I17+'28 Jan - 3 Feb'!I17</f>
        <v/>
      </c>
      <c r="L17" s="89">
        <f>IFERROR(K17/SUM(G17),0)</f>
        <v/>
      </c>
      <c r="M17" s="73" t="n">
        <v>15358</v>
      </c>
    </row>
    <row r="18" ht="15.6" customFormat="1" customHeight="1" s="70">
      <c r="A18" s="40" t="inlineStr">
        <is>
          <t>Queenswood</t>
        </is>
      </c>
      <c r="B18" s="18">
        <f>E18*1.15</f>
        <v/>
      </c>
      <c r="C18" s="18" t="n">
        <v>59120.12</v>
      </c>
      <c r="D18" s="73" t="n">
        <v>0</v>
      </c>
      <c r="E18" s="73" t="n">
        <v>188936.11</v>
      </c>
      <c r="F18" s="86">
        <f>IFERROR((SUM(E18-D18)/D18),0)</f>
        <v/>
      </c>
      <c r="G18" s="74" t="n">
        <v>1791</v>
      </c>
      <c r="H18" s="63">
        <f>IFERROR(B18/G18,0)</f>
        <v/>
      </c>
      <c r="I18" s="61" t="n">
        <v>95</v>
      </c>
      <c r="J18" s="28">
        <f>IFERROR(I18/G18,0)</f>
        <v/>
      </c>
      <c r="K18" s="46">
        <f>I18+'28 Jan - 3 Feb'!I18</f>
        <v/>
      </c>
      <c r="L18" s="89">
        <f>IFERROR(K18/SUM(G18),0)</f>
        <v/>
      </c>
      <c r="M18" s="73" t="n">
        <v>6067.9</v>
      </c>
    </row>
    <row r="19" customFormat="1" s="70">
      <c r="A19" s="81" t="n"/>
      <c r="B19" s="81" t="n"/>
      <c r="C19" s="81" t="n"/>
      <c r="D19" s="81" t="n"/>
      <c r="E19" s="395" t="n"/>
      <c r="F19" s="81" t="n"/>
      <c r="G19" s="396" t="n"/>
      <c r="H19" s="397" t="n"/>
      <c r="I19" s="91" t="inlineStr">
        <is>
          <t>.</t>
        </is>
      </c>
      <c r="J19" s="397" t="n"/>
      <c r="K19" s="397" t="n"/>
      <c r="L19" s="397" t="n"/>
      <c r="M19" s="397" t="n"/>
    </row>
    <row r="20" customFormat="1" s="70">
      <c r="A20" s="81" t="n"/>
      <c r="B20" s="81" t="n"/>
      <c r="C20" s="81" t="n"/>
      <c r="D20" s="81" t="n"/>
      <c r="E20" s="83" t="n"/>
      <c r="F20" s="81" t="n"/>
      <c r="G20" s="82" t="n"/>
      <c r="H20" s="81" t="n"/>
      <c r="I20" s="81" t="n"/>
      <c r="J20" s="81" t="n"/>
      <c r="K20" s="81" t="n"/>
      <c r="L20" s="81" t="n"/>
      <c r="M20" s="81" t="n"/>
    </row>
    <row r="21" customFormat="1" s="70">
      <c r="A21" s="81" t="n"/>
      <c r="B21" s="81" t="n"/>
      <c r="C21" s="81" t="n"/>
      <c r="D21" s="81" t="n"/>
      <c r="E21" s="83" t="n"/>
      <c r="F21" s="81" t="n"/>
      <c r="G21" s="82" t="n"/>
      <c r="H21" s="81" t="n"/>
      <c r="I21" s="81" t="n"/>
      <c r="J21" s="81" t="n"/>
      <c r="K21" s="81" t="n"/>
      <c r="L21" s="81" t="n"/>
      <c r="M21" s="81" t="n"/>
    </row>
    <row r="22" ht="15" customFormat="1" customHeight="1" s="70">
      <c r="A22" s="81" t="n"/>
      <c r="B22" s="81" t="n"/>
      <c r="C22" s="81" t="n"/>
      <c r="D22" s="81" t="n"/>
      <c r="E22" s="83" t="n"/>
      <c r="F22" s="81" t="n"/>
      <c r="G22" s="82" t="n"/>
      <c r="H22" s="81" t="n"/>
      <c r="I22" s="81" t="n"/>
      <c r="J22" s="81" t="n"/>
      <c r="K22" s="81" t="n"/>
      <c r="L22" s="81" t="n"/>
      <c r="M22" s="27" t="n"/>
    </row>
    <row r="23" customFormat="1" s="70">
      <c r="A23" s="81" t="n"/>
      <c r="B23" s="81" t="n"/>
      <c r="C23" s="81" t="n"/>
      <c r="D23" s="81" t="n"/>
      <c r="E23" s="83" t="n"/>
      <c r="F23" s="81" t="n"/>
      <c r="G23" s="82" t="n"/>
      <c r="H23" s="81" t="n"/>
      <c r="I23" s="81" t="n"/>
      <c r="J23" s="81" t="n"/>
      <c r="K23" s="81" t="n"/>
      <c r="L23" s="81" t="n"/>
      <c r="M23" s="81" t="n"/>
    </row>
    <row r="24" customFormat="1" s="70">
      <c r="A24" s="81" t="n"/>
      <c r="B24" s="81" t="n"/>
      <c r="C24" s="81" t="n"/>
      <c r="D24" s="81" t="n"/>
      <c r="E24" s="83" t="n"/>
      <c r="F24" s="81" t="n"/>
      <c r="G24" s="82" t="n"/>
      <c r="H24" s="81" t="n"/>
      <c r="I24" s="81" t="n"/>
      <c r="J24" s="81" t="n"/>
      <c r="K24" s="81" t="n"/>
      <c r="L24" s="81" t="n"/>
      <c r="M24" s="81" t="n"/>
    </row>
    <row r="25" customFormat="1" s="70">
      <c r="A25" s="81" t="n"/>
      <c r="B25" s="81" t="n"/>
      <c r="C25" s="81" t="n"/>
      <c r="D25" s="81" t="n"/>
      <c r="E25" s="83" t="n"/>
      <c r="F25" s="81" t="n"/>
      <c r="G25" s="82" t="n"/>
      <c r="H25" s="81" t="n"/>
      <c r="I25" s="81" t="n"/>
      <c r="J25" s="81" t="n"/>
      <c r="K25" s="81" t="n"/>
      <c r="L25" s="81" t="n"/>
      <c r="M25" s="81" t="n"/>
    </row>
    <row r="26" customFormat="1" s="70">
      <c r="A26" s="81" t="n"/>
      <c r="B26" s="81" t="n"/>
      <c r="C26" s="81" t="n"/>
      <c r="D26" s="81" t="n"/>
      <c r="E26" s="83" t="n"/>
      <c r="F26" s="81" t="n"/>
      <c r="G26" s="82" t="n"/>
      <c r="H26" s="81" t="n"/>
      <c r="I26" s="81" t="n"/>
      <c r="J26" s="81" t="n"/>
      <c r="K26" s="81" t="n"/>
      <c r="L26" s="81" t="n"/>
      <c r="M26" s="81" t="n"/>
    </row>
    <row r="27" customFormat="1" s="70">
      <c r="A27" s="81" t="n"/>
      <c r="B27" s="81" t="n"/>
      <c r="C27" s="81" t="n"/>
      <c r="D27" s="81" t="n"/>
      <c r="E27" s="83" t="n"/>
      <c r="F27" s="81" t="n"/>
      <c r="G27" s="82" t="n"/>
      <c r="H27" s="81" t="n"/>
      <c r="I27" s="81" t="n"/>
      <c r="J27" s="81" t="n"/>
      <c r="K27" s="81" t="n"/>
      <c r="L27" s="81" t="n"/>
      <c r="M27" s="81" t="n"/>
    </row>
  </sheetData>
  <conditionalFormatting sqref="B6:M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67"/>
  <drawing r:id="rId1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9.6640625" customWidth="1" style="69" min="7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59"/>
    <col width="9.33203125" customWidth="1" style="69" min="60" max="16384"/>
  </cols>
  <sheetData>
    <row r="1" ht="15.6" customHeight="1">
      <c r="A1" s="7" t="n"/>
      <c r="B1" s="7" t="n"/>
      <c r="C1" s="7" t="n"/>
      <c r="D1" s="14" t="inlineStr">
        <is>
          <t>% Organic</t>
        </is>
      </c>
      <c r="E1" s="7" t="n"/>
      <c r="F1" s="7" t="n"/>
      <c r="G1" s="7" t="n"/>
      <c r="H1" s="7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242378.88</v>
      </c>
      <c r="C6" s="73" t="n">
        <v>266174.9</v>
      </c>
      <c r="D6" s="86">
        <f>IFERROR((SUM(C6-B6)/B6),0)</f>
        <v/>
      </c>
      <c r="E6" s="74" t="n">
        <v>2063</v>
      </c>
      <c r="F6" s="63">
        <f>IFERROR(C6/E6,0)</f>
        <v/>
      </c>
      <c r="G6" s="61" t="n">
        <v>50</v>
      </c>
      <c r="H6" s="28">
        <f>IFERROR(G6/E6,0)</f>
        <v/>
      </c>
      <c r="I6" s="46">
        <f>G6+'Jan 7 - Jan 13'!I6+'Jan 14 - Jan 20'!I6+'Jan 21 - Jan 27'!I6+'28 Jan - 3 Feb'!I6+'4 Feb - 10 Feb'!I6</f>
        <v/>
      </c>
      <c r="J6" s="89">
        <f>IFERROR(I6/SUM(E6),0)</f>
        <v/>
      </c>
      <c r="K6" s="73" t="n">
        <v>10748.2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207544.97</v>
      </c>
      <c r="C7" s="73" t="n">
        <v>242108.65</v>
      </c>
      <c r="D7" s="86">
        <f>IFERROR((SUM(C7-B7)/B7),0)</f>
        <v/>
      </c>
      <c r="E7" s="74" t="n">
        <v>1724</v>
      </c>
      <c r="F7" s="63">
        <f>IFERROR(C7/E7,0)</f>
        <v/>
      </c>
      <c r="G7" s="61" t="n">
        <v>100</v>
      </c>
      <c r="H7" s="28">
        <f>IFERROR(G7/E7,0)</f>
        <v/>
      </c>
      <c r="I7" s="46">
        <f>G7+'Jan 7 - Jan 13'!I7+'Jan 14 - Jan 20'!I7+'Jan 21 - Jan 27'!I7+'28 Jan - 3 Feb'!I7+'4 Feb - 10 Feb'!I7</f>
        <v/>
      </c>
      <c r="J7" s="89">
        <f>IFERROR(I7/SUM(E7),0)</f>
        <v/>
      </c>
      <c r="K7" s="73" t="n">
        <v>14892.15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114390.05</v>
      </c>
      <c r="C8" s="73" t="n">
        <v>118438.43</v>
      </c>
      <c r="D8" s="86">
        <f>IFERROR((SUM(C8-B8)/B8),0)</f>
        <v/>
      </c>
      <c r="E8" s="74" t="n">
        <v>837</v>
      </c>
      <c r="F8" s="63">
        <f>IFERROR(C8/E8,0)</f>
        <v/>
      </c>
      <c r="G8" s="61" t="n">
        <v>23</v>
      </c>
      <c r="H8" s="28">
        <f>IFERROR(G8/E8,0)</f>
        <v/>
      </c>
      <c r="I8" s="46">
        <f>G8+'Jan 7 - Jan 13'!I8+'Jan 14 - Jan 20'!I8+'Jan 21 - Jan 27'!I8+'28 Jan - 3 Feb'!I8+'4 Feb - 10 Feb'!I8</f>
        <v/>
      </c>
      <c r="J8" s="89">
        <f>IFERROR(I8/SUM(E8),0)</f>
        <v/>
      </c>
      <c r="K8" s="73" t="n">
        <v>4155.5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324147.25</v>
      </c>
      <c r="C9" s="73" t="n">
        <v>342968.68</v>
      </c>
      <c r="D9" s="86">
        <f>IFERROR((SUM(C9-B9)/B9),0)</f>
        <v/>
      </c>
      <c r="E9" s="74" t="n">
        <v>2676</v>
      </c>
      <c r="F9" s="63">
        <f>IFERROR(C9/E9,0)</f>
        <v/>
      </c>
      <c r="G9" s="61" t="n">
        <v>64</v>
      </c>
      <c r="H9" s="28">
        <f>IFERROR(G9/E9,0)</f>
        <v/>
      </c>
      <c r="I9" s="46">
        <f>G9+'Jan 7 - Jan 13'!I9+'Jan 14 - Jan 20'!I9+'Jan 21 - Jan 27'!I9+'28 Jan - 3 Feb'!I9+'4 Feb - 10 Feb'!I9</f>
        <v/>
      </c>
      <c r="J9" s="89">
        <f>IFERROR(I9/SUM(E9),0)</f>
        <v/>
      </c>
      <c r="K9" s="73" t="n">
        <v>15572.58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180292.29</v>
      </c>
      <c r="C10" s="73" t="n">
        <v>165657.87</v>
      </c>
      <c r="D10" s="86">
        <f>IFERROR((SUM(C10-B10)/B10),0)</f>
        <v/>
      </c>
      <c r="E10" s="74" t="n">
        <v>990</v>
      </c>
      <c r="F10" s="63">
        <f>IFERROR(C10/E10,0)</f>
        <v/>
      </c>
      <c r="G10" s="61" t="n">
        <v>54</v>
      </c>
      <c r="H10" s="28">
        <f>IFERROR(G10/E10,0)</f>
        <v/>
      </c>
      <c r="I10" s="46">
        <f>G10+'Jan 7 - Jan 13'!I10+'Jan 14 - Jan 20'!I10+'Jan 21 - Jan 27'!I10+'28 Jan - 3 Feb'!I10+'4 Feb - 10 Feb'!I10</f>
        <v/>
      </c>
      <c r="J10" s="89">
        <f>IFERROR(I10/SUM(E10),0)</f>
        <v/>
      </c>
      <c r="K10" s="73" t="n">
        <v>8894.610000000001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295932.86</v>
      </c>
      <c r="C11" s="73" t="n">
        <v>344555.3</v>
      </c>
      <c r="D11" s="86">
        <f>IFERROR((SUM(C11-B11)/B11),0)</f>
        <v/>
      </c>
      <c r="E11" s="74" t="n">
        <v>2540</v>
      </c>
      <c r="F11" s="63">
        <f>IFERROR(C11/E11,0)</f>
        <v/>
      </c>
      <c r="G11" s="61" t="n">
        <v>136</v>
      </c>
      <c r="H11" s="28">
        <f>IFERROR(G11/E11,0)</f>
        <v/>
      </c>
      <c r="I11" s="46">
        <f>G11+'Jan 7 - Jan 13'!I11+'Jan 14 - Jan 20'!I11+'Jan 21 - Jan 27'!I11+'28 Jan - 3 Feb'!I11+'4 Feb - 10 Feb'!I11</f>
        <v/>
      </c>
      <c r="J11" s="89">
        <f>IFERROR(I11/SUM(E11),0)</f>
        <v/>
      </c>
      <c r="K11" s="73" t="n">
        <v>18360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129246.81</v>
      </c>
      <c r="C12" s="73" t="n">
        <v>150132.08</v>
      </c>
      <c r="D12" s="86">
        <f>IFERROR((SUM(C12-B12)/B12),0)</f>
        <v/>
      </c>
      <c r="E12" s="74" t="n">
        <v>1359</v>
      </c>
      <c r="F12" s="63">
        <f>IFERROR(C12/E12,0)</f>
        <v/>
      </c>
      <c r="G12" s="61" t="n">
        <v>52</v>
      </c>
      <c r="H12" s="28">
        <f>IFERROR(G12/E12,0)</f>
        <v/>
      </c>
      <c r="I12" s="46">
        <f>G12+'Jan 7 - Jan 13'!I12+'Jan 14 - Jan 20'!I12+'Jan 21 - Jan 27'!I12+'28 Jan - 3 Feb'!I12+'4 Feb - 10 Feb'!I12</f>
        <v/>
      </c>
      <c r="J12" s="89">
        <f>IFERROR(I12/SUM(E12),0)</f>
        <v/>
      </c>
      <c r="K12" s="73" t="n">
        <v>16447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218657.19</v>
      </c>
      <c r="C13" s="73" t="n">
        <v>239284.36</v>
      </c>
      <c r="D13" s="86">
        <f>IFERROR((SUM(C13-B13)/B13),0)</f>
        <v/>
      </c>
      <c r="E13" s="74" t="n">
        <v>1791</v>
      </c>
      <c r="F13" s="63">
        <f>IFERROR(C13/E13,0)</f>
        <v/>
      </c>
      <c r="G13" s="61" t="n">
        <v>98</v>
      </c>
      <c r="H13" s="28">
        <f>IFERROR(G13/E13,0)</f>
        <v/>
      </c>
      <c r="I13" s="46">
        <f>G13+'Jan 7 - Jan 13'!I13+'Jan 14 - Jan 20'!I13+'Jan 21 - Jan 27'!I13+'28 Jan - 3 Feb'!I13+'4 Feb - 10 Feb'!I13</f>
        <v/>
      </c>
      <c r="J13" s="89">
        <f>IFERROR(I13/SUM(E13),0)</f>
        <v/>
      </c>
      <c r="K13" s="73" t="n">
        <v>8881.5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117903.36</v>
      </c>
      <c r="C14" s="73" t="n">
        <v>98380.86</v>
      </c>
      <c r="D14" s="86">
        <f>IFERROR((SUM(C14-B14)/B14),0)</f>
        <v/>
      </c>
      <c r="E14" s="74" t="n">
        <v>477</v>
      </c>
      <c r="F14" s="63">
        <f>IFERROR(C14/E14,0)</f>
        <v/>
      </c>
      <c r="G14" s="61" t="n">
        <v>0</v>
      </c>
      <c r="H14" s="28">
        <f>IFERROR(G14/E14,0)</f>
        <v/>
      </c>
      <c r="I14" s="46">
        <f>G14+'Jan 7 - Jan 13'!I14+'Jan 14 - Jan 20'!I14+'Jan 21 - Jan 27'!I14+'28 Jan - 3 Feb'!I14+'4 Feb - 10 Feb'!I14</f>
        <v/>
      </c>
      <c r="J14" s="89">
        <f>IFERROR(I14/SUM(E14),0)</f>
        <v/>
      </c>
      <c r="K14" s="73" t="n">
        <v>9040.379999999999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159684.51</v>
      </c>
      <c r="C15" s="73" t="n">
        <v>201421.91</v>
      </c>
      <c r="D15" s="86">
        <f>IFERROR((SUM(C15-B15)/B15),0)</f>
        <v/>
      </c>
      <c r="E15" s="74" t="n">
        <v>1817</v>
      </c>
      <c r="F15" s="63">
        <f>IFERROR(C15/E15,0)</f>
        <v/>
      </c>
      <c r="G15" s="61" t="n">
        <v>101</v>
      </c>
      <c r="H15" s="28">
        <f>IFERROR(G15/E15,0)</f>
        <v/>
      </c>
      <c r="I15" s="46">
        <f>G15+'Jan 7 - Jan 13'!I15+'Jan 14 - Jan 20'!I15+'Jan 21 - Jan 27'!I15+'28 Jan - 3 Feb'!I15+'4 Feb - 10 Feb'!I15</f>
        <v/>
      </c>
      <c r="J15" s="89">
        <f>IFERROR(I15/SUM(E15),0)</f>
        <v/>
      </c>
      <c r="K15" s="73" t="n">
        <v>5412.7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142406.29</v>
      </c>
      <c r="C16" s="73" t="n">
        <v>194132.08</v>
      </c>
      <c r="D16" s="86">
        <f>IFERROR((SUM(C16-B16)/B16),0)</f>
        <v/>
      </c>
      <c r="E16" s="74" t="n">
        <v>1462</v>
      </c>
      <c r="F16" s="63">
        <f>IFERROR(C16/E16,0)</f>
        <v/>
      </c>
      <c r="G16" s="61" t="n">
        <v>44</v>
      </c>
      <c r="H16" s="28">
        <f>IFERROR(G16/E16,0)</f>
        <v/>
      </c>
      <c r="I16" s="46">
        <f>G16+'Jan 7 - Jan 13'!I16+'Jan 14 - Jan 20'!I16+'Jan 21 - Jan 27'!I16+'28 Jan - 3 Feb'!I16+'4 Feb - 10 Feb'!I16</f>
        <v/>
      </c>
      <c r="J16" s="89">
        <f>IFERROR(I16/SUM(E16),0)</f>
        <v/>
      </c>
      <c r="K16" s="73" t="n">
        <v>7514.5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221532.48</v>
      </c>
      <c r="C17" s="73" t="n">
        <v>207863</v>
      </c>
      <c r="D17" s="86">
        <f>IFERROR((SUM(C17-B17)/B17),0)</f>
        <v/>
      </c>
      <c r="E17" s="74" t="n">
        <v>1431</v>
      </c>
      <c r="F17" s="63">
        <f>IFERROR(C17/E17,0)</f>
        <v/>
      </c>
      <c r="G17" s="61" t="n">
        <v>106</v>
      </c>
      <c r="H17" s="28">
        <f>IFERROR(G17/E17,0)</f>
        <v/>
      </c>
      <c r="I17" s="46">
        <f>G17+'Jan 7 - Jan 13'!I17+'Jan 14 - Jan 20'!I17+'Jan 21 - Jan 27'!I17+'28 Jan - 3 Feb'!I17+'4 Feb - 10 Feb'!I17</f>
        <v/>
      </c>
      <c r="J17" s="89">
        <f>IFERROR(I17/SUM(E17),0)</f>
        <v/>
      </c>
      <c r="K17" s="73" t="n">
        <v>16454.45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179661.94</v>
      </c>
      <c r="D18" s="86">
        <f>IFERROR((SUM(C18-B18)/B18),0)</f>
        <v/>
      </c>
      <c r="E18" s="74" t="n">
        <v>1556</v>
      </c>
      <c r="F18" s="63">
        <f>IFERROR(C18/E18,0)</f>
        <v/>
      </c>
      <c r="G18" s="61" t="n">
        <v>52</v>
      </c>
      <c r="H18" s="28">
        <f>IFERROR(G18/E18,0)</f>
        <v/>
      </c>
      <c r="I18" s="46">
        <f>G18+'28 Jan - 3 Feb'!I18+'4 Feb - 10 Feb'!I18</f>
        <v/>
      </c>
      <c r="J18" s="89">
        <f>IFERROR(I18/SUM(E18),0)</f>
        <v/>
      </c>
      <c r="K18" s="73" t="n">
        <v>3609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N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baseColWidth="8" defaultColWidth="9.33203125" defaultRowHeight="14.4" outlineLevelRow="1"/>
  <cols>
    <col width="28.5546875" bestFit="1" customWidth="1" style="69" min="1" max="1"/>
    <col width="15.6640625" customWidth="1" style="69" min="2" max="3"/>
    <col width="12.6640625" customWidth="1" style="69" min="4" max="4"/>
    <col width="14.6640625" bestFit="1" customWidth="1" style="69" min="5" max="5"/>
    <col width="13.44140625" customWidth="1" style="69" min="6" max="6"/>
    <col width="11.44140625" bestFit="1" customWidth="1" style="69" min="7" max="7"/>
    <col width="10.44140625" bestFit="1" customWidth="1" style="69" min="8" max="8"/>
    <col width="11" bestFit="1" customWidth="1" style="69" min="9" max="9"/>
    <col hidden="1" width="15.44140625" customWidth="1" style="69" min="10" max="10"/>
    <col width="15.6640625" customWidth="1" style="69" min="11" max="11"/>
    <col width="17" customWidth="1" style="70" min="12" max="12"/>
    <col width="9.33203125" customWidth="1" style="70" min="13" max="16"/>
    <col width="9.33203125" customWidth="1" style="69" min="17" max="59"/>
    <col width="9.33203125" customWidth="1" style="69" min="60" max="16384"/>
  </cols>
  <sheetData>
    <row r="1" ht="15.6" customHeight="1">
      <c r="A1" s="7" t="n"/>
      <c r="B1" s="509" t="n"/>
      <c r="C1" s="7" t="n"/>
      <c r="D1" s="14" t="inlineStr">
        <is>
          <t>% Organic</t>
        </is>
      </c>
      <c r="E1" s="7" t="n"/>
      <c r="F1" s="7" t="n"/>
      <c r="G1" s="510" t="n"/>
      <c r="H1" s="510" t="n"/>
      <c r="I1" s="7" t="n"/>
      <c r="J1" s="7" t="n"/>
      <c r="K1" s="81" t="n"/>
      <c r="L1" s="9" t="n"/>
      <c r="M1" s="9" t="n"/>
      <c r="N1" s="9" t="n"/>
    </row>
    <row r="2" ht="15" customHeight="1" thickBot="1">
      <c r="A2" s="1" t="n"/>
      <c r="B2" s="1" t="n"/>
      <c r="C2" s="1" t="n"/>
      <c r="D2" s="31">
        <f>(((C4-C18)-B4)/B4)</f>
        <v/>
      </c>
      <c r="E2" s="34" t="n"/>
      <c r="F2" s="1" t="n"/>
      <c r="G2" s="1" t="n"/>
      <c r="H2" s="1" t="n"/>
      <c r="I2" s="1" t="n"/>
      <c r="J2" s="1" t="n"/>
      <c r="K2" s="81" t="n"/>
      <c r="L2" s="17" t="n"/>
      <c r="M2" s="9" t="n"/>
      <c r="N2" s="9" t="n"/>
    </row>
    <row r="3" ht="31.8" customHeight="1" thickBot="1">
      <c r="A3" s="2" t="n"/>
      <c r="B3" s="15" t="inlineStr">
        <is>
          <t>LAST YEAR (Net)</t>
        </is>
      </c>
      <c r="C3" s="11" t="inlineStr">
        <is>
          <t>T/over Net</t>
        </is>
      </c>
      <c r="D3" s="13" t="inlineStr">
        <is>
          <t>% to LY</t>
        </is>
      </c>
      <c r="E3" s="35" t="inlineStr">
        <is>
          <t>Covers</t>
        </is>
      </c>
      <c r="F3" s="11" t="inlineStr">
        <is>
          <t>Avg Spend</t>
        </is>
      </c>
      <c r="G3" s="15" t="inlineStr">
        <is>
          <t>PROMO Weekly</t>
        </is>
      </c>
      <c r="H3" s="15" t="inlineStr">
        <is>
          <t>% To Covers</t>
        </is>
      </c>
      <c r="I3" s="15" t="inlineStr">
        <is>
          <t>Promo to Date</t>
        </is>
      </c>
      <c r="J3" s="15" t="inlineStr">
        <is>
          <t>% To Date</t>
        </is>
      </c>
      <c r="K3" s="41" t="inlineStr">
        <is>
          <t>Discounts</t>
        </is>
      </c>
      <c r="L3" s="23" t="n"/>
      <c r="M3" s="21" t="n"/>
      <c r="N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7">
        <f>SUM(C6:C18)</f>
        <v/>
      </c>
      <c r="D4" s="90">
        <f>IFERROR((SUM(C4-B4)/B4),0)</f>
        <v/>
      </c>
      <c r="E4" s="66">
        <f>SUM(E6:E18)</f>
        <v/>
      </c>
      <c r="F4" s="85">
        <f>AVERAGE(F5:F18)</f>
        <v/>
      </c>
      <c r="G4" s="88">
        <f>SUM(G6:G18)</f>
        <v/>
      </c>
      <c r="H4" s="28">
        <f>IFERROR(G4/E4,0)</f>
        <v/>
      </c>
      <c r="I4" s="46">
        <f>SUM(I6:I18)</f>
        <v/>
      </c>
      <c r="J4" s="89">
        <f>IFERROR(I4/SUM(E4),0)</f>
        <v/>
      </c>
      <c r="K4" s="66">
        <f>SUM(K6:K18)</f>
        <v/>
      </c>
      <c r="L4" s="24" t="n"/>
      <c r="M4" s="9" t="n"/>
      <c r="N4" s="9" t="n"/>
    </row>
    <row r="5" hidden="1" outlineLevel="1" ht="15.6" customHeight="1">
      <c r="A5" s="38" t="inlineStr">
        <is>
          <t>Midrand</t>
        </is>
      </c>
      <c r="B5" s="67" t="n"/>
      <c r="C5" s="67" t="n"/>
      <c r="D5" s="86">
        <f>IFERROR((SUM(C5-B5)/B5),0)</f>
        <v/>
      </c>
      <c r="E5" s="68" t="n"/>
      <c r="F5" s="84" t="n"/>
      <c r="G5" s="68" t="n"/>
      <c r="H5" s="28">
        <f>IFERROR(G5/E5,0)</f>
        <v/>
      </c>
      <c r="I5" s="46">
        <f>G5+'Nov 19 - Nov 25'!I5+'Nov 26 - Dec 2'!I5+'Dec 3 - Dec 9'!I5+'Dec 10 - Dec 16'!I5+'Dec 17 - Dec 23'!I5+'Dec 24 - Dec 30'!I5</f>
        <v/>
      </c>
      <c r="J5" s="89">
        <f>IFERROR(I5/SUM(E5),0)</f>
        <v/>
      </c>
      <c r="K5" s="73" t="n"/>
      <c r="L5" s="25" t="n"/>
      <c r="M5" s="9" t="n"/>
      <c r="N5" s="9" t="n"/>
    </row>
    <row r="6" collapsed="1" ht="15.6" customHeight="1">
      <c r="A6" s="39" t="inlineStr">
        <is>
          <t>Irene Village</t>
        </is>
      </c>
      <c r="B6" s="73" t="n">
        <v>234617.82</v>
      </c>
      <c r="C6" s="73" t="n">
        <v>255478.47</v>
      </c>
      <c r="D6" s="86">
        <f>IFERROR((SUM(C6-B6)/B6),0)</f>
        <v/>
      </c>
      <c r="E6" s="74" t="n">
        <v>1926</v>
      </c>
      <c r="F6" s="63">
        <f>IFERROR(C6/E6,0)</f>
        <v/>
      </c>
      <c r="G6" s="61">
        <f>VLOOKUP(A6,Promo!A:I,9,FALSE)</f>
        <v/>
      </c>
      <c r="H6" s="28">
        <f>IFERROR(G6/E6,0)</f>
        <v/>
      </c>
      <c r="I6" s="46">
        <f>G6+'Jan 7 - Jan 13'!I6+'Jan 14 - Jan 20'!I6+'Jan 21 - Jan 27'!I6+'28 Jan - 3 Feb'!I6+'4 Feb - 10 Feb'!I6+'11 Feb - 17 Feb'!G6</f>
        <v/>
      </c>
      <c r="J6" s="89">
        <f>IFERROR(I6/SUM(E6),0)</f>
        <v/>
      </c>
      <c r="K6" s="73" t="n">
        <v>12742.6</v>
      </c>
      <c r="L6" s="26" t="n"/>
      <c r="M6" s="9" t="n"/>
      <c r="N6" s="9" t="n"/>
    </row>
    <row r="7" ht="15.6" customHeight="1">
      <c r="A7" s="39" t="inlineStr">
        <is>
          <t>Melrose Arch</t>
        </is>
      </c>
      <c r="B7" s="73" t="n">
        <v>196295.06</v>
      </c>
      <c r="C7" s="73" t="n">
        <v>179311.69</v>
      </c>
      <c r="D7" s="86">
        <f>IFERROR((SUM(C7-B7)/B7),0)</f>
        <v/>
      </c>
      <c r="E7" s="74" t="n">
        <v>1803</v>
      </c>
      <c r="F7" s="63">
        <f>IFERROR(C7/E7,0)</f>
        <v/>
      </c>
      <c r="G7" s="61">
        <f>VLOOKUP(A7,Promo!A:I,9,FALSE)</f>
        <v/>
      </c>
      <c r="H7" s="28">
        <f>IFERROR(G7/E7,0)</f>
        <v/>
      </c>
      <c r="I7" s="46">
        <f>G7+'Jan 7 - Jan 13'!I7+'Jan 14 - Jan 20'!I7+'Jan 21 - Jan 27'!I7+'28 Jan - 3 Feb'!I7+'4 Feb - 10 Feb'!I7+'11 Feb - 17 Feb'!G7</f>
        <v/>
      </c>
      <c r="J7" s="89">
        <f>IFERROR(I7/SUM(E7),0)</f>
        <v/>
      </c>
      <c r="K7" s="73" t="n">
        <v>11417.4</v>
      </c>
      <c r="L7" s="26" t="n"/>
      <c r="M7" s="9" t="n"/>
      <c r="N7" s="9" t="n"/>
    </row>
    <row r="8" ht="15.6" customHeight="1">
      <c r="A8" s="39" t="inlineStr">
        <is>
          <t>Melville</t>
        </is>
      </c>
      <c r="B8" s="73" t="n">
        <v>106518.63</v>
      </c>
      <c r="C8" s="73" t="n">
        <v>106132.06</v>
      </c>
      <c r="D8" s="86">
        <f>IFERROR((SUM(C8-B8)/B8),0)</f>
        <v/>
      </c>
      <c r="E8" s="74" t="n">
        <v>798</v>
      </c>
      <c r="F8" s="63">
        <f>IFERROR(C8/E8,0)</f>
        <v/>
      </c>
      <c r="G8" s="61">
        <f>VLOOKUP(A8,Promo!A:I,9,FALSE)</f>
        <v/>
      </c>
      <c r="H8" s="28">
        <f>IFERROR(G8/E8,0)</f>
        <v/>
      </c>
      <c r="I8" s="46">
        <f>G8+'Jan 7 - Jan 13'!I8+'Jan 14 - Jan 20'!I8+'Jan 21 - Jan 27'!I8+'28 Jan - 3 Feb'!I8+'4 Feb - 10 Feb'!I8+'11 Feb - 17 Feb'!G8</f>
        <v/>
      </c>
      <c r="J8" s="89">
        <f>IFERROR(I8/SUM(E8),0)</f>
        <v/>
      </c>
      <c r="K8" s="73" t="n">
        <v>5655.6</v>
      </c>
      <c r="L8" s="26" t="n"/>
      <c r="M8" s="9" t="n"/>
      <c r="N8" s="9" t="n"/>
    </row>
    <row r="9" ht="15.6" customHeight="1">
      <c r="A9" s="39" t="inlineStr">
        <is>
          <t>Rosebank</t>
        </is>
      </c>
      <c r="B9" s="73" t="n">
        <v>362222.69</v>
      </c>
      <c r="C9" s="73" t="n">
        <v>325053.89</v>
      </c>
      <c r="D9" s="86">
        <f>IFERROR((SUM(C9-B9)/B9),0)</f>
        <v/>
      </c>
      <c r="E9" s="74" t="n">
        <v>2568</v>
      </c>
      <c r="F9" s="63">
        <f>IFERROR(C9/E9,0)</f>
        <v/>
      </c>
      <c r="G9" s="61">
        <f>VLOOKUP(A9,Promo!A:I,9,FALSE)</f>
        <v/>
      </c>
      <c r="H9" s="28">
        <f>IFERROR(G9/E9,0)</f>
        <v/>
      </c>
      <c r="I9" s="46">
        <f>G9+'Jan 7 - Jan 13'!I9+'Jan 14 - Jan 20'!I9+'Jan 21 - Jan 27'!I9+'28 Jan - 3 Feb'!I9+'4 Feb - 10 Feb'!I9+'11 Feb - 17 Feb'!G9</f>
        <v/>
      </c>
      <c r="J9" s="89">
        <f>IFERROR(I9/SUM(E9),0)</f>
        <v/>
      </c>
      <c r="K9" s="73" t="n">
        <v>15969.7</v>
      </c>
      <c r="L9" s="26" t="n"/>
      <c r="M9" s="9" t="n"/>
      <c r="N9" s="9" t="n"/>
    </row>
    <row r="10" ht="15.6" customFormat="1" customHeight="1" s="70">
      <c r="A10" s="39" t="inlineStr">
        <is>
          <t xml:space="preserve">Waterkloof </t>
        </is>
      </c>
      <c r="B10" s="73" t="n">
        <v>141629.58</v>
      </c>
      <c r="C10" s="73" t="n">
        <v>146907.45</v>
      </c>
      <c r="D10" s="86">
        <f>IFERROR((SUM(C10-B10)/B10),0)</f>
        <v/>
      </c>
      <c r="E10" s="74" t="n">
        <v>958</v>
      </c>
      <c r="F10" s="63">
        <f>IFERROR(C10/E10,0)</f>
        <v/>
      </c>
      <c r="G10" s="61">
        <f>VLOOKUP(A10,Promo!A:I,9,FALSE)</f>
        <v/>
      </c>
      <c r="H10" s="28">
        <f>IFERROR(G10/E10,0)</f>
        <v/>
      </c>
      <c r="I10" s="46">
        <f>G10+'Jan 7 - Jan 13'!I10+'Jan 14 - Jan 20'!I10+'Jan 21 - Jan 27'!I10+'28 Jan - 3 Feb'!I10+'4 Feb - 10 Feb'!I10+'11 Feb - 17 Feb'!G10</f>
        <v/>
      </c>
      <c r="J10" s="89">
        <f>IFERROR(I10/SUM(E10),0)</f>
        <v/>
      </c>
      <c r="K10" s="73" t="n">
        <v>9455.799999999999</v>
      </c>
      <c r="L10" s="26" t="n"/>
      <c r="M10" s="9" t="n"/>
      <c r="N10" s="9" t="n"/>
    </row>
    <row r="11" ht="15.6" customFormat="1" customHeight="1" s="70">
      <c r="A11" s="39" t="inlineStr">
        <is>
          <t>Eagles Landing</t>
        </is>
      </c>
      <c r="B11" s="73" t="n">
        <v>301960.55</v>
      </c>
      <c r="C11" s="73" t="n">
        <v>346076.98</v>
      </c>
      <c r="D11" s="86">
        <f>IFERROR((SUM(C11-B11)/B11),0)</f>
        <v/>
      </c>
      <c r="E11" s="74" t="n">
        <v>2247</v>
      </c>
      <c r="F11" s="63">
        <f>IFERROR(C11/E11,0)</f>
        <v/>
      </c>
      <c r="G11" s="61">
        <f>VLOOKUP(A11,Promo!A:I,9,FALSE)</f>
        <v/>
      </c>
      <c r="H11" s="28">
        <f>IFERROR(G11/E11,0)</f>
        <v/>
      </c>
      <c r="I11" s="46">
        <f>G11+'Jan 7 - Jan 13'!I11+'Jan 14 - Jan 20'!I11+'Jan 21 - Jan 27'!I11+'28 Jan - 3 Feb'!I11+'4 Feb - 10 Feb'!I11+'11 Feb - 17 Feb'!G11</f>
        <v/>
      </c>
      <c r="J11" s="89">
        <f>IFERROR(I11/SUM(E11),0)</f>
        <v/>
      </c>
      <c r="K11" s="73" t="n">
        <v>18815.45</v>
      </c>
      <c r="L11" s="26" t="n"/>
      <c r="M11" s="9" t="n"/>
      <c r="N11" s="9" t="n"/>
    </row>
    <row r="12" ht="15.6" customFormat="1" customHeight="1" s="70">
      <c r="A12" s="40" t="inlineStr">
        <is>
          <t>Stellenbosch</t>
        </is>
      </c>
      <c r="B12" s="73" t="n">
        <v>116587.85</v>
      </c>
      <c r="C12" s="73" t="n">
        <v>148820.94</v>
      </c>
      <c r="D12" s="86">
        <f>IFERROR((SUM(C12-B12)/B12),0)</f>
        <v/>
      </c>
      <c r="E12" s="74" t="n">
        <v>1317</v>
      </c>
      <c r="F12" s="63">
        <f>IFERROR(C12/E12,0)</f>
        <v/>
      </c>
      <c r="G12" s="61">
        <f>VLOOKUP(A12,Promo!A:I,9,FALSE)</f>
        <v/>
      </c>
      <c r="H12" s="28">
        <f>IFERROR(G12/E12,0)</f>
        <v/>
      </c>
      <c r="I12" s="46">
        <f>G12+'Jan 7 - Jan 13'!I12+'Jan 14 - Jan 20'!I12+'Jan 21 - Jan 27'!I12+'28 Jan - 3 Feb'!I12+'4 Feb - 10 Feb'!I12+'11 Feb - 17 Feb'!G12</f>
        <v/>
      </c>
      <c r="J12" s="89">
        <f>IFERROR(I12/SUM(E12),0)</f>
        <v/>
      </c>
      <c r="K12" s="73" t="n">
        <v>14156</v>
      </c>
      <c r="L12" s="26" t="n"/>
      <c r="M12" s="9" t="n"/>
      <c r="N12" s="9" t="n"/>
    </row>
    <row r="13" ht="15.6" customFormat="1" customHeight="1" s="70">
      <c r="A13" s="40" t="inlineStr">
        <is>
          <t>Lynnwood</t>
        </is>
      </c>
      <c r="B13" s="73" t="n">
        <v>196761.76</v>
      </c>
      <c r="C13" s="73" t="n">
        <v>227627.23</v>
      </c>
      <c r="D13" s="86">
        <f>IFERROR((SUM(C13-B13)/B13),0)</f>
        <v/>
      </c>
      <c r="E13" s="74" t="n">
        <v>1789</v>
      </c>
      <c r="F13" s="63">
        <f>IFERROR(C13/E13,0)</f>
        <v/>
      </c>
      <c r="G13" s="61">
        <f>VLOOKUP(A13,Promo!A:I,9,FALSE)</f>
        <v/>
      </c>
      <c r="H13" s="28">
        <f>IFERROR(G13/E13,0)</f>
        <v/>
      </c>
      <c r="I13" s="46">
        <f>G13+'Jan 7 - Jan 13'!I13+'Jan 14 - Jan 20'!I13+'Jan 21 - Jan 27'!I13+'28 Jan - 3 Feb'!I13+'4 Feb - 10 Feb'!I13+'11 Feb - 17 Feb'!G13</f>
        <v/>
      </c>
      <c r="J13" s="89">
        <f>IFERROR(I13/SUM(E13),0)</f>
        <v/>
      </c>
      <c r="K13" s="73" t="n">
        <v>10016</v>
      </c>
      <c r="L13" s="26" t="n"/>
      <c r="M13" s="9" t="n"/>
      <c r="N13" s="9" t="n"/>
    </row>
    <row r="14" ht="15.6" customFormat="1" customHeight="1" s="70">
      <c r="A14" s="40" t="inlineStr">
        <is>
          <t>Wellington</t>
        </is>
      </c>
      <c r="B14" s="73" t="n">
        <v>110413.04</v>
      </c>
      <c r="C14" s="73" t="n">
        <v>93224.78</v>
      </c>
      <c r="D14" s="86">
        <f>IFERROR((SUM(C14-B14)/B14),0)</f>
        <v/>
      </c>
      <c r="E14" s="74" t="n">
        <v>527</v>
      </c>
      <c r="F14" s="63">
        <f>IFERROR(C14/E14,0)</f>
        <v/>
      </c>
      <c r="G14" s="61">
        <f>VLOOKUP(A14,Promo!A:I,9,FALSE)</f>
        <v/>
      </c>
      <c r="H14" s="28">
        <f>IFERROR(G14/E14,0)</f>
        <v/>
      </c>
      <c r="I14" s="46">
        <f>G14+'Jan 7 - Jan 13'!I14+'Jan 14 - Jan 20'!I14+'Jan 21 - Jan 27'!I14+'28 Jan - 3 Feb'!I14+'4 Feb - 10 Feb'!I14+'11 Feb - 17 Feb'!G14</f>
        <v/>
      </c>
      <c r="J14" s="89">
        <f>IFERROR(I14/SUM(E14),0)</f>
        <v/>
      </c>
      <c r="K14" s="73" t="n">
        <v>6669.5</v>
      </c>
      <c r="L14" s="26" t="n"/>
      <c r="M14" s="9" t="n"/>
      <c r="N14" s="9" t="n"/>
    </row>
    <row r="15" ht="15.6" customFormat="1" customHeight="1" s="70">
      <c r="A15" s="40" t="inlineStr">
        <is>
          <t>Hartenbos</t>
        </is>
      </c>
      <c r="B15" s="73" t="n">
        <v>150054.22</v>
      </c>
      <c r="C15" s="73" t="n">
        <v>159531.37</v>
      </c>
      <c r="D15" s="86">
        <f>IFERROR((SUM(C15-B15)/B15),0)</f>
        <v/>
      </c>
      <c r="E15" s="74" t="n">
        <v>1523</v>
      </c>
      <c r="F15" s="63">
        <f>IFERROR(C15/E15,0)</f>
        <v/>
      </c>
      <c r="G15" s="61">
        <f>VLOOKUP(A15,Promo!A:I,9,FALSE)</f>
        <v/>
      </c>
      <c r="H15" s="28">
        <f>IFERROR(G15/E15,0)</f>
        <v/>
      </c>
      <c r="I15" s="46">
        <f>G15+'Jan 7 - Jan 13'!I15+'Jan 14 - Jan 20'!I15+'Jan 21 - Jan 27'!I15+'28 Jan - 3 Feb'!I15+'4 Feb - 10 Feb'!I15+'11 Feb - 17 Feb'!G15</f>
        <v/>
      </c>
      <c r="J15" s="89">
        <f>IFERROR(I15/SUM(E15),0)</f>
        <v/>
      </c>
      <c r="K15" s="73" t="n">
        <v>5134</v>
      </c>
      <c r="L15" s="9" t="n"/>
      <c r="M15" s="9" t="n"/>
      <c r="N15" s="9" t="n"/>
    </row>
    <row r="16" ht="15.6" customFormat="1" customHeight="1" s="70">
      <c r="A16" s="40" t="inlineStr">
        <is>
          <t>Kyalami Corner</t>
        </is>
      </c>
      <c r="B16" s="73" t="n">
        <v>182551.64</v>
      </c>
      <c r="C16" s="73" t="n">
        <v>135434.34</v>
      </c>
      <c r="D16" s="86">
        <f>IFERROR((SUM(C16-B16)/B16),0)</f>
        <v/>
      </c>
      <c r="E16" s="74" t="n">
        <v>918</v>
      </c>
      <c r="F16" s="63">
        <f>IFERROR(C16/E16,0)</f>
        <v/>
      </c>
      <c r="G16" s="61">
        <f>VLOOKUP(A16,Promo!A:I,9,FALSE)</f>
        <v/>
      </c>
      <c r="H16" s="28">
        <f>IFERROR(G16/E16,0)</f>
        <v/>
      </c>
      <c r="I16" s="46">
        <f>G16+'Jan 7 - Jan 13'!I16+'Jan 14 - Jan 20'!I16+'Jan 21 - Jan 27'!I16+'28 Jan - 3 Feb'!I16+'4 Feb - 10 Feb'!I16+'11 Feb - 17 Feb'!G16</f>
        <v/>
      </c>
      <c r="J16" s="89">
        <f>IFERROR(I16/SUM(E16),0)</f>
        <v/>
      </c>
      <c r="K16" s="73" t="n">
        <v>8759.809999999999</v>
      </c>
      <c r="L16" s="9" t="n"/>
      <c r="M16" s="9" t="n"/>
      <c r="N16" s="9" t="n"/>
    </row>
    <row r="17" ht="15.6" customFormat="1" customHeight="1" s="70">
      <c r="A17" s="40" t="inlineStr">
        <is>
          <t>Paulshof</t>
        </is>
      </c>
      <c r="B17" s="73" t="n">
        <v>250911.11</v>
      </c>
      <c r="C17" s="73" t="n">
        <v>215582.54</v>
      </c>
      <c r="D17" s="86">
        <f>IFERROR((SUM(C17-B17)/B17),0)</f>
        <v/>
      </c>
      <c r="E17" s="74" t="n">
        <v>1480</v>
      </c>
      <c r="F17" s="63">
        <f>IFERROR(C17/E17,0)</f>
        <v/>
      </c>
      <c r="G17" s="61">
        <f>VLOOKUP(A17,Promo!A:I,9,FALSE)</f>
        <v/>
      </c>
      <c r="H17" s="28">
        <f>IFERROR(G17/E17,0)</f>
        <v/>
      </c>
      <c r="I17" s="46">
        <f>G17+'Jan 7 - Jan 13'!I17+'Jan 14 - Jan 20'!I17+'Jan 21 - Jan 27'!I17+'28 Jan - 3 Feb'!I17+'4 Feb - 10 Feb'!I17+'11 Feb - 17 Feb'!G17</f>
        <v/>
      </c>
      <c r="J17" s="89">
        <f>IFERROR(I17/SUM(E17),0)</f>
        <v/>
      </c>
      <c r="K17" s="73" t="n">
        <v>19147.73</v>
      </c>
    </row>
    <row r="18" ht="15.6" customFormat="1" customHeight="1" s="70">
      <c r="A18" s="40" t="inlineStr">
        <is>
          <t>Queenswood</t>
        </is>
      </c>
      <c r="B18" s="73" t="n">
        <v>0</v>
      </c>
      <c r="C18" s="73" t="n">
        <v>169417.62</v>
      </c>
      <c r="D18" s="86">
        <f>IFERROR((SUM(C18-B18)/B18),0)</f>
        <v/>
      </c>
      <c r="E18" s="74" t="n">
        <v>1543</v>
      </c>
      <c r="F18" s="63">
        <f>IFERROR(C18/E18,0)</f>
        <v/>
      </c>
      <c r="G18" s="61">
        <f>VLOOKUP(A18,Promo!A:I,9,FALSE)</f>
        <v/>
      </c>
      <c r="H18" s="28">
        <f>IFERROR(G18/E18,0)</f>
        <v/>
      </c>
      <c r="I18" s="46">
        <f>G18+'28 Jan - 3 Feb'!I18+'4 Feb - 10 Feb'!I18+'11 Feb - 17 Feb'!G18</f>
        <v/>
      </c>
      <c r="J18" s="89">
        <f>IFERROR(I18/SUM(E18),0)</f>
        <v/>
      </c>
      <c r="K18" s="73" t="n">
        <v>4734.25</v>
      </c>
    </row>
    <row r="19" customFormat="1" s="70">
      <c r="A19" s="81" t="n"/>
      <c r="B19" s="81" t="n"/>
      <c r="C19" s="395" t="n"/>
      <c r="D19" s="81" t="n"/>
      <c r="E19" s="396" t="n"/>
      <c r="F19" s="397" t="n"/>
      <c r="G19" s="91" t="inlineStr">
        <is>
          <t>.</t>
        </is>
      </c>
      <c r="H19" s="397" t="n"/>
      <c r="I19" s="397" t="n"/>
      <c r="J19" s="397" t="n"/>
      <c r="K19" s="397" t="n"/>
    </row>
    <row r="20" customFormat="1" s="70">
      <c r="A20" s="81" t="n"/>
      <c r="B20" s="81" t="n"/>
      <c r="C20" s="83" t="n"/>
      <c r="D20" s="81" t="n"/>
      <c r="E20" s="82" t="n"/>
      <c r="F20" s="81" t="n"/>
      <c r="G20" s="81" t="n"/>
      <c r="H20" s="81" t="n"/>
      <c r="I20" s="81" t="n"/>
      <c r="J20" s="81" t="n"/>
      <c r="K20" s="81" t="n"/>
    </row>
    <row r="21" customFormat="1" s="70">
      <c r="A21" s="81" t="n"/>
      <c r="B21" s="81" t="n"/>
      <c r="C21" s="83" t="n"/>
      <c r="D21" s="81" t="n"/>
      <c r="E21" s="82" t="n"/>
      <c r="F21" s="81" t="n"/>
      <c r="G21" s="81" t="n"/>
      <c r="H21" s="81" t="n"/>
      <c r="I21" s="81" t="n"/>
      <c r="J21" s="81" t="n"/>
      <c r="K21" s="81" t="n"/>
    </row>
    <row r="22" ht="15" customFormat="1" customHeight="1" s="70">
      <c r="A22" s="81" t="n"/>
      <c r="B22" s="81" t="n"/>
      <c r="C22" s="83" t="n"/>
      <c r="D22" s="81" t="n"/>
      <c r="E22" s="82" t="n"/>
      <c r="F22" s="81" t="n"/>
      <c r="G22" s="81" t="n"/>
      <c r="H22" s="81" t="n"/>
      <c r="I22" s="81" t="n"/>
      <c r="J22" s="81" t="n"/>
      <c r="K22" s="27" t="n"/>
    </row>
    <row r="23" customFormat="1" s="70">
      <c r="A23" s="81" t="n"/>
      <c r="B23" s="81" t="n"/>
      <c r="C23" s="83" t="n"/>
      <c r="D23" s="81" t="n"/>
      <c r="E23" s="82" t="n"/>
      <c r="F23" s="81" t="n"/>
      <c r="G23" s="81" t="n"/>
      <c r="H23" s="81" t="n"/>
      <c r="I23" s="81" t="n"/>
      <c r="J23" s="81" t="n"/>
      <c r="K23" s="81" t="n"/>
    </row>
    <row r="24" customFormat="1" s="70">
      <c r="A24" s="81" t="n"/>
      <c r="B24" s="81" t="n"/>
      <c r="C24" s="83" t="n"/>
      <c r="D24" s="81" t="n"/>
      <c r="E24" s="82" t="n"/>
      <c r="F24" s="81" t="n"/>
      <c r="G24" s="81" t="n"/>
      <c r="H24" s="81" t="n"/>
      <c r="I24" s="81" t="n"/>
      <c r="J24" s="81" t="n"/>
      <c r="K24" s="81" t="n"/>
    </row>
    <row r="25" customFormat="1" s="70">
      <c r="A25" s="81" t="n"/>
      <c r="B25" s="81" t="n"/>
      <c r="C25" s="83" t="n"/>
      <c r="D25" s="81" t="n"/>
      <c r="E25" s="82" t="n"/>
      <c r="F25" s="81" t="n"/>
      <c r="G25" s="81" t="n"/>
      <c r="H25" s="81" t="n"/>
      <c r="I25" s="81" t="n"/>
      <c r="J25" s="81" t="n"/>
      <c r="K25" s="81" t="n"/>
    </row>
    <row r="26" customFormat="1" s="70">
      <c r="A26" s="81" t="n"/>
      <c r="B26" s="81" t="n"/>
      <c r="C26" s="83" t="n"/>
      <c r="D26" s="81" t="n"/>
      <c r="E26" s="82" t="n"/>
      <c r="F26" s="81" t="n"/>
      <c r="G26" s="81" t="n"/>
      <c r="H26" s="81" t="n"/>
      <c r="I26" s="81" t="n"/>
      <c r="J26" s="81" t="n"/>
      <c r="K26" s="81" t="n"/>
    </row>
    <row r="27" customFormat="1" s="70">
      <c r="A27" s="81" t="n"/>
      <c r="B27" s="81" t="n"/>
      <c r="C27" s="83" t="n"/>
      <c r="D27" s="81" t="n"/>
      <c r="E27" s="82" t="n"/>
      <c r="F27" s="81" t="n"/>
      <c r="G27" s="81" t="n"/>
      <c r="H27" s="81" t="n"/>
      <c r="I27" s="81" t="n"/>
      <c r="J27" s="81" t="n"/>
      <c r="K27" s="81" t="n"/>
    </row>
  </sheetData>
  <conditionalFormatting sqref="B6:K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6"/>
  <drawing r:id="rId1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255478.47</v>
      </c>
      <c r="C6" s="73" t="n">
        <v>249192.95</v>
      </c>
      <c r="D6" s="73" t="n">
        <v>251748.71</v>
      </c>
      <c r="E6" s="86" t="n">
        <v>0.01025614889987851</v>
      </c>
      <c r="F6" s="74" t="n">
        <v>1985</v>
      </c>
      <c r="G6" s="63" t="n">
        <v>126.8255465994962</v>
      </c>
      <c r="H6" s="61" t="n">
        <v>75</v>
      </c>
      <c r="I6" s="28" t="n">
        <v>0.03778337531486146</v>
      </c>
      <c r="J6" s="46" t="n">
        <v>579</v>
      </c>
      <c r="K6" s="89" t="n">
        <v>0.2916876574307305</v>
      </c>
      <c r="L6" s="73" t="n">
        <v>14665.5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179311.69</v>
      </c>
      <c r="C7" s="73" t="n">
        <v>207663.59</v>
      </c>
      <c r="D7" s="73" t="n">
        <v>224533.36</v>
      </c>
      <c r="E7" s="86" t="n">
        <v>0.0812360510573856</v>
      </c>
      <c r="F7" s="74" t="n">
        <v>2009</v>
      </c>
      <c r="G7" s="63" t="n">
        <v>111.7637431557989</v>
      </c>
      <c r="H7" s="61" t="n">
        <v>121</v>
      </c>
      <c r="I7" s="28" t="n">
        <v>0.06022896963663514</v>
      </c>
      <c r="J7" s="46" t="n">
        <v>777</v>
      </c>
      <c r="K7" s="89" t="n">
        <v>0.3867595818815331</v>
      </c>
      <c r="L7" s="73" t="n">
        <v>14006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106132.06</v>
      </c>
      <c r="C8" s="73" t="n">
        <v>106257.8</v>
      </c>
      <c r="D8" s="73" t="n">
        <v>118837.36</v>
      </c>
      <c r="E8" s="86" t="n">
        <v>0.1183871678126217</v>
      </c>
      <c r="F8" s="74" t="n">
        <v>865</v>
      </c>
      <c r="G8" s="63" t="n">
        <v>137.3842312138728</v>
      </c>
      <c r="H8" s="61" t="n">
        <v>38</v>
      </c>
      <c r="I8" s="28" t="n">
        <v>0.04393063583815029</v>
      </c>
      <c r="J8" s="46" t="n">
        <v>268</v>
      </c>
      <c r="K8" s="89" t="n">
        <v>0.3098265895953757</v>
      </c>
      <c r="L8" s="73" t="n">
        <v>4734.3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325053.89</v>
      </c>
      <c r="C9" s="73" t="n">
        <v>362249.26</v>
      </c>
      <c r="D9" s="73" t="n">
        <v>354530.54</v>
      </c>
      <c r="E9" s="86" t="n">
        <v>-0.02130775919321417</v>
      </c>
      <c r="F9" s="74" t="n">
        <v>2816</v>
      </c>
      <c r="G9" s="63" t="n">
        <v>125.8986292613636</v>
      </c>
      <c r="H9" s="61" t="n">
        <v>88</v>
      </c>
      <c r="I9" s="28" t="n">
        <v>0.03125</v>
      </c>
      <c r="J9" s="46" t="n">
        <v>749</v>
      </c>
      <c r="K9" s="89" t="n">
        <v>0.2659801136363636</v>
      </c>
      <c r="L9" s="73" t="n">
        <v>15736.4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146907.45</v>
      </c>
      <c r="C10" s="73" t="n">
        <v>152808.71</v>
      </c>
      <c r="D10" s="73" t="n">
        <v>162768.13</v>
      </c>
      <c r="E10" s="86" t="n">
        <v>0.06517573507426386</v>
      </c>
      <c r="F10" s="74" t="n">
        <v>1060</v>
      </c>
      <c r="G10" s="63" t="n">
        <v>153.5548396226415</v>
      </c>
      <c r="H10" s="61" t="n">
        <v>58</v>
      </c>
      <c r="I10" s="28" t="n">
        <v>0.05471698113207547</v>
      </c>
      <c r="J10" s="46" t="n">
        <v>450</v>
      </c>
      <c r="K10" s="89" t="n">
        <v>0.4245283018867925</v>
      </c>
      <c r="L10" s="73" t="n">
        <v>10874.25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346076.98</v>
      </c>
      <c r="C11" s="73" t="n">
        <v>318588.43</v>
      </c>
      <c r="D11" s="73" t="n">
        <v>337802.42</v>
      </c>
      <c r="E11" s="86" t="n">
        <v>0.06030975450050082</v>
      </c>
      <c r="F11" s="74" t="n">
        <v>2417</v>
      </c>
      <c r="G11" s="63" t="n">
        <v>139.761034340091</v>
      </c>
      <c r="H11" s="61" t="n">
        <v>133</v>
      </c>
      <c r="I11" s="28" t="n">
        <v>0.05502689284236657</v>
      </c>
      <c r="J11" s="46" t="n">
        <v>1125</v>
      </c>
      <c r="K11" s="89" t="n">
        <v>0.4654530409598676</v>
      </c>
      <c r="L11" s="73" t="n">
        <v>23143.29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148820.94</v>
      </c>
      <c r="C12" s="73" t="n">
        <v>132072.93</v>
      </c>
      <c r="D12" s="73" t="n">
        <v>176295.37</v>
      </c>
      <c r="E12" s="86" t="n">
        <v>0.3348334893456214</v>
      </c>
      <c r="F12" s="74" t="n">
        <v>1482</v>
      </c>
      <c r="G12" s="63" t="n">
        <v>118.9577395411606</v>
      </c>
      <c r="H12" s="61" t="n">
        <v>62</v>
      </c>
      <c r="I12" s="28" t="n">
        <v>0.04183535762483131</v>
      </c>
      <c r="J12" s="46" t="n">
        <v>460</v>
      </c>
      <c r="K12" s="89" t="n">
        <v>0.310391363022942</v>
      </c>
      <c r="L12" s="73" t="n">
        <v>18680.6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227627.23</v>
      </c>
      <c r="C13" s="73" t="n">
        <v>222558.66</v>
      </c>
      <c r="D13" s="73" t="n">
        <v>222836.31</v>
      </c>
      <c r="E13" s="86" t="n">
        <v>0.001247536267517041</v>
      </c>
      <c r="F13" s="74" t="n">
        <v>1756</v>
      </c>
      <c r="G13" s="63" t="n">
        <v>126.8999487471526</v>
      </c>
      <c r="H13" s="61" t="n">
        <v>103</v>
      </c>
      <c r="I13" s="28" t="n">
        <v>0.05865603644646925</v>
      </c>
      <c r="J13" s="46" t="n">
        <v>836</v>
      </c>
      <c r="K13" s="89" t="n">
        <v>0.4760820045558087</v>
      </c>
      <c r="L13" s="73" t="n">
        <v>10398.4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93224.78</v>
      </c>
      <c r="C14" s="73" t="n">
        <v>94394.88</v>
      </c>
      <c r="D14" s="73" t="n">
        <v>90297.38</v>
      </c>
      <c r="E14" s="86" t="n">
        <v>-0.04340807467523662</v>
      </c>
      <c r="F14" s="74" t="n">
        <v>555</v>
      </c>
      <c r="G14" s="63" t="n">
        <v>162.697981981982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8999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159531.37</v>
      </c>
      <c r="C15" s="73" t="n">
        <v>134408.08</v>
      </c>
      <c r="D15" s="73" t="n">
        <v>167255.37</v>
      </c>
      <c r="E15" s="86" t="n">
        <v>0.2443847869860206</v>
      </c>
      <c r="F15" s="74" t="n">
        <v>1503</v>
      </c>
      <c r="G15" s="63" t="n">
        <v>111.2810179640719</v>
      </c>
      <c r="H15" s="61" t="n">
        <v>100</v>
      </c>
      <c r="I15" s="28" t="n">
        <v>0.0665335994677312</v>
      </c>
      <c r="J15" s="46" t="n">
        <v>657</v>
      </c>
      <c r="K15" s="89" t="n">
        <v>0.437125748502994</v>
      </c>
      <c r="L15" s="73" t="n">
        <v>4072.4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135434.34</v>
      </c>
      <c r="C16" s="73" t="n">
        <v>127687.22</v>
      </c>
      <c r="D16" s="73" t="n">
        <v>151388.8</v>
      </c>
      <c r="E16" s="86" t="n">
        <v>0.1856221789463345</v>
      </c>
      <c r="F16" s="74" t="n">
        <v>1057</v>
      </c>
      <c r="G16" s="63" t="n">
        <v>143.2249763481551</v>
      </c>
      <c r="H16" s="61" t="n">
        <v>49</v>
      </c>
      <c r="I16" s="28" t="n">
        <v>0.04635761589403974</v>
      </c>
      <c r="J16" s="46" t="n">
        <v>360</v>
      </c>
      <c r="K16" s="89" t="n">
        <v>0.3405865657521286</v>
      </c>
      <c r="L16" s="73" t="n">
        <v>10502.3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215582.54</v>
      </c>
      <c r="C17" s="73" t="n">
        <v>220842.84</v>
      </c>
      <c r="D17" s="73" t="n">
        <v>250174.74</v>
      </c>
      <c r="E17" s="86" t="n">
        <v>0.1328179804244502</v>
      </c>
      <c r="F17" s="74" t="n">
        <v>1541</v>
      </c>
      <c r="G17" s="63" t="n">
        <v>162.345710577547</v>
      </c>
      <c r="H17" s="61" t="n">
        <v>147</v>
      </c>
      <c r="I17" s="28" t="n">
        <v>0.09539260220635951</v>
      </c>
      <c r="J17" s="46" t="n">
        <v>1034</v>
      </c>
      <c r="K17" s="89" t="n">
        <v>0.6709928617780662</v>
      </c>
      <c r="L17" s="73" t="n">
        <v>22126.65</v>
      </c>
    </row>
    <row r="18" ht="15.6" customFormat="1" customHeight="1" s="70">
      <c r="A18" s="40" t="inlineStr">
        <is>
          <t>Queenswood</t>
        </is>
      </c>
      <c r="B18" s="102" t="n">
        <v>169417.62</v>
      </c>
      <c r="C18" s="73" t="n">
        <v>0</v>
      </c>
      <c r="D18" s="73" t="n">
        <v>190318.77</v>
      </c>
      <c r="E18" s="86" t="n">
        <v>0</v>
      </c>
      <c r="F18" s="74" t="n">
        <v>1528</v>
      </c>
      <c r="G18" s="63" t="n">
        <v>124.5541688481675</v>
      </c>
      <c r="H18" s="61" t="n">
        <v>77</v>
      </c>
      <c r="I18" s="28" t="n">
        <v>0.05039267015706806</v>
      </c>
      <c r="J18" s="46" t="n">
        <v>283</v>
      </c>
      <c r="K18" s="89" t="n">
        <v>0.1852094240837696</v>
      </c>
      <c r="L18" s="73" t="n">
        <v>4254.75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251748.71</v>
      </c>
      <c r="C6" s="73" t="n">
        <v>222516.75</v>
      </c>
      <c r="D6" s="73" t="n">
        <v>237319.79</v>
      </c>
      <c r="E6" s="86">
        <f>IFERROR((SUM(D6-C6)/C6),0)</f>
        <v/>
      </c>
      <c r="F6" s="74" t="n">
        <v>1848</v>
      </c>
      <c r="G6" s="63">
        <f>IFERROR(D6/F6,0)</f>
        <v/>
      </c>
      <c r="H6" s="61" t="n">
        <v>51</v>
      </c>
      <c r="I6" s="28">
        <f>IFERROR(H6/F6,0)</f>
        <v/>
      </c>
      <c r="J6" s="46" t="n">
        <v>630</v>
      </c>
      <c r="K6" s="89" t="n">
        <v>0.3409090909090909</v>
      </c>
      <c r="L6" s="73" t="n">
        <v>12542.35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224533.36</v>
      </c>
      <c r="C7" s="73" t="n">
        <v>176573.9</v>
      </c>
      <c r="D7" s="73" t="n">
        <v>233007.56</v>
      </c>
      <c r="E7" s="86">
        <f>IFERROR((SUM(D7-C7)/C7),0)</f>
        <v/>
      </c>
      <c r="F7" s="74" t="n">
        <v>1821</v>
      </c>
      <c r="G7" s="63">
        <f>IFERROR(D7/F7,0)</f>
        <v/>
      </c>
      <c r="H7" s="61" t="n">
        <v>100</v>
      </c>
      <c r="I7" s="28">
        <f>IFERROR(H7/F7,0)</f>
        <v/>
      </c>
      <c r="J7" s="46" t="n">
        <v>877</v>
      </c>
      <c r="K7" s="89" t="n">
        <v>0.4816035145524437</v>
      </c>
      <c r="L7" s="73" t="n">
        <v>13046.55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118837.36</v>
      </c>
      <c r="C8" s="73" t="n">
        <v>98720.22</v>
      </c>
      <c r="D8" s="73" t="n">
        <v>127072.32</v>
      </c>
      <c r="E8" s="86">
        <f>IFERROR((SUM(D8-C8)/C8),0)</f>
        <v/>
      </c>
      <c r="F8" s="74" t="n">
        <v>814</v>
      </c>
      <c r="G8" s="63">
        <f>IFERROR(D8/F8,0)</f>
        <v/>
      </c>
      <c r="H8" s="61" t="n">
        <v>25</v>
      </c>
      <c r="I8" s="28">
        <f>IFERROR(H8/F8,0)</f>
        <v/>
      </c>
      <c r="J8" s="46" t="n">
        <v>293</v>
      </c>
      <c r="K8" s="89" t="n">
        <v>0.35995085995086</v>
      </c>
      <c r="L8" s="73" t="n">
        <v>7019.5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354530.54</v>
      </c>
      <c r="C9" s="73" t="n">
        <v>327754.26</v>
      </c>
      <c r="D9" s="73" t="n">
        <v>354792.07</v>
      </c>
      <c r="E9" s="86">
        <f>IFERROR((SUM(D9-C9)/C9),0)</f>
        <v/>
      </c>
      <c r="F9" s="74" t="n">
        <v>2701</v>
      </c>
      <c r="G9" s="63">
        <f>IFERROR(D9/F9,0)</f>
        <v/>
      </c>
      <c r="H9" s="61" t="n">
        <v>104</v>
      </c>
      <c r="I9" s="28">
        <f>IFERROR(H9/F9,0)</f>
        <v/>
      </c>
      <c r="J9" s="46" t="n">
        <v>853</v>
      </c>
      <c r="K9" s="89" t="n">
        <v>0.3158089596445761</v>
      </c>
      <c r="L9" s="73" t="n">
        <v>14343.25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162768.13</v>
      </c>
      <c r="C10" s="73" t="n">
        <v>146985.57</v>
      </c>
      <c r="D10" s="73" t="n">
        <v>162214.98</v>
      </c>
      <c r="E10" s="86">
        <f>IFERROR((SUM(D10-C10)/C10),0)</f>
        <v/>
      </c>
      <c r="F10" s="74" t="n">
        <v>1107</v>
      </c>
      <c r="G10" s="63">
        <f>IFERROR(D10/F10,0)</f>
        <v/>
      </c>
      <c r="H10" s="61" t="n">
        <v>48</v>
      </c>
      <c r="I10" s="28">
        <f>IFERROR(H10/F10,0)</f>
        <v/>
      </c>
      <c r="J10" s="46" t="n">
        <v>498</v>
      </c>
      <c r="K10" s="89" t="n">
        <v>0.4498644986449865</v>
      </c>
      <c r="L10" s="73" t="n">
        <v>10274.3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337802.42</v>
      </c>
      <c r="C11" s="73" t="n">
        <v>314568.71</v>
      </c>
      <c r="D11" s="73" t="n">
        <v>339050.03</v>
      </c>
      <c r="E11" s="86">
        <f>IFERROR((SUM(D11-C11)/C11),0)</f>
        <v/>
      </c>
      <c r="F11" s="74" t="n">
        <v>2485</v>
      </c>
      <c r="G11" s="63">
        <f>IFERROR(D11/F11,0)</f>
        <v/>
      </c>
      <c r="H11" s="61" t="n">
        <v>129</v>
      </c>
      <c r="I11" s="28">
        <f>IFERROR(H11/F11,0)</f>
        <v/>
      </c>
      <c r="J11" s="46" t="n">
        <v>1254</v>
      </c>
      <c r="K11" s="89" t="n">
        <v>0.5046277665995976</v>
      </c>
      <c r="L11" s="73" t="n">
        <v>21312.15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176295.37</v>
      </c>
      <c r="C12" s="73" t="n">
        <v>144748.49</v>
      </c>
      <c r="D12" s="73" t="n">
        <v>164881.56</v>
      </c>
      <c r="E12" s="86">
        <f>IFERROR((SUM(D12-C12)/C12),0)</f>
        <v/>
      </c>
      <c r="F12" s="74" t="n">
        <v>1445</v>
      </c>
      <c r="G12" s="63">
        <f>IFERROR(D12/F12,0)</f>
        <v/>
      </c>
      <c r="H12" s="61" t="n">
        <v>42</v>
      </c>
      <c r="I12" s="28">
        <f>IFERROR(H12/F12,0)</f>
        <v/>
      </c>
      <c r="J12" s="46" t="n">
        <v>502</v>
      </c>
      <c r="K12" s="89" t="n">
        <v>0.3474048442906574</v>
      </c>
      <c r="L12" s="73" t="n">
        <v>19223.85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222836.31</v>
      </c>
      <c r="C13" s="73" t="n">
        <v>209138.95</v>
      </c>
      <c r="D13" s="73" t="n">
        <v>220450.34</v>
      </c>
      <c r="E13" s="86">
        <f>IFERROR((SUM(D13-C13)/C13),0)</f>
        <v/>
      </c>
      <c r="F13" s="74" t="n">
        <v>1803</v>
      </c>
      <c r="G13" s="63">
        <f>IFERROR(D13/F13,0)</f>
        <v/>
      </c>
      <c r="H13" s="61" t="n">
        <v>80</v>
      </c>
      <c r="I13" s="28">
        <f>IFERROR(H13/F13,0)</f>
        <v/>
      </c>
      <c r="J13" s="46" t="n">
        <v>916</v>
      </c>
      <c r="K13" s="89" t="n">
        <v>0.5080421519689406</v>
      </c>
      <c r="L13" s="73" t="n">
        <v>10266.2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90297.38</v>
      </c>
      <c r="C14" s="73" t="n">
        <v>74134</v>
      </c>
      <c r="D14" s="73" t="n">
        <v>70723.91</v>
      </c>
      <c r="E14" s="86">
        <f>IFERROR((SUM(D14-C14)/C14),0)</f>
        <v/>
      </c>
      <c r="F14" s="74" t="n">
        <v>383</v>
      </c>
      <c r="G14" s="63">
        <f>IFERROR(D14/F14,0)</f>
        <v/>
      </c>
      <c r="H14" s="61" t="n">
        <v>0</v>
      </c>
      <c r="I14" s="28">
        <f>IFERROR(H14/F14,0)</f>
        <v/>
      </c>
      <c r="J14" s="46" t="n">
        <v>0</v>
      </c>
      <c r="K14" s="89" t="n">
        <v>0</v>
      </c>
      <c r="L14" s="73" t="n">
        <v>5812.08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167255.37</v>
      </c>
      <c r="C15" s="73" t="n">
        <v>133439.17</v>
      </c>
      <c r="D15" s="73" t="n">
        <v>156695.27</v>
      </c>
      <c r="E15" s="86">
        <f>IFERROR((SUM(D15-C15)/C15),0)</f>
        <v/>
      </c>
      <c r="F15" s="74" t="n">
        <v>1364</v>
      </c>
      <c r="G15" s="63">
        <f>IFERROR(D15/F15,0)</f>
        <v/>
      </c>
      <c r="H15" s="61" t="n">
        <v>68</v>
      </c>
      <c r="I15" s="28">
        <f>IFERROR(H15/F15,0)</f>
        <v/>
      </c>
      <c r="J15" s="46" t="n">
        <v>725</v>
      </c>
      <c r="K15" s="89" t="n">
        <v>0.531524926686217</v>
      </c>
      <c r="L15" s="73" t="n">
        <v>4458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151388.8</v>
      </c>
      <c r="C16" s="73" t="n">
        <v>134873.74</v>
      </c>
      <c r="D16" s="73" t="n">
        <v>139497.94</v>
      </c>
      <c r="E16" s="86">
        <f>IFERROR((SUM(D16-C16)/C16),0)</f>
        <v/>
      </c>
      <c r="F16" s="74" t="n">
        <v>943</v>
      </c>
      <c r="G16" s="63">
        <f>IFERROR(D16/F16,0)</f>
        <v/>
      </c>
      <c r="H16" s="61" t="n">
        <v>27</v>
      </c>
      <c r="I16" s="28">
        <f>IFERROR(H16/F16,0)</f>
        <v/>
      </c>
      <c r="J16" s="46" t="n">
        <v>387</v>
      </c>
      <c r="K16" s="89" t="n">
        <v>0.4103923647932132</v>
      </c>
      <c r="L16" s="73" t="n">
        <v>7039.5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250174.74</v>
      </c>
      <c r="C17" s="73" t="n">
        <v>218676.17</v>
      </c>
      <c r="D17" s="73" t="n">
        <v>227810.49</v>
      </c>
      <c r="E17" s="86">
        <f>IFERROR((SUM(D17-C17)/C17),0)</f>
        <v/>
      </c>
      <c r="F17" s="74" t="n">
        <v>1682</v>
      </c>
      <c r="G17" s="63">
        <f>IFERROR(D17/F17,0)</f>
        <v/>
      </c>
      <c r="H17" s="61" t="n">
        <v>139</v>
      </c>
      <c r="I17" s="28">
        <f>IFERROR(H17/F17,0)</f>
        <v/>
      </c>
      <c r="J17" s="46" t="n">
        <v>1173</v>
      </c>
      <c r="K17" s="89" t="n">
        <v>0.6973840665873959</v>
      </c>
      <c r="L17" s="73" t="n">
        <v>15060.55</v>
      </c>
    </row>
    <row r="18" ht="15.6" customFormat="1" customHeight="1" s="70">
      <c r="A18" s="40" t="inlineStr">
        <is>
          <t>Queenswood</t>
        </is>
      </c>
      <c r="B18" s="102" t="n">
        <v>190318.77</v>
      </c>
      <c r="C18" s="73" t="n">
        <v>0</v>
      </c>
      <c r="D18" s="73" t="n">
        <v>195684.66</v>
      </c>
      <c r="E18" s="86">
        <f>IFERROR((SUM(D18-C18)/C18),0)</f>
        <v/>
      </c>
      <c r="F18" s="74" t="n">
        <v>1589</v>
      </c>
      <c r="G18" s="63">
        <f>IFERROR(D18/F18,0)</f>
        <v/>
      </c>
      <c r="H18" s="61" t="n">
        <v>63</v>
      </c>
      <c r="I18" s="28">
        <f>IFERROR(H18/F18,0)</f>
        <v/>
      </c>
      <c r="J18" s="46" t="n">
        <v>346</v>
      </c>
      <c r="K18" s="89" t="n">
        <v>0.2177470106985525</v>
      </c>
      <c r="L18" s="73" t="n">
        <v>5405.5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237319.79</v>
      </c>
      <c r="C6" s="73" t="n">
        <v>215211.27</v>
      </c>
      <c r="D6" s="73" t="n">
        <v>268849.73</v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VLOOKUP(A6,Promo!A:L,12,FALSE)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</f>
        <v/>
      </c>
      <c r="K6" s="89">
        <f>IFERROR(J6/SUM(F6),0)</f>
        <v/>
      </c>
      <c r="L6" s="73" t="n">
        <v>14644.3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233007.56</v>
      </c>
      <c r="C7" s="73" t="n">
        <v>163238.9</v>
      </c>
      <c r="D7" s="73" t="n">
        <v>247782.44</v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VLOOKUP(A7,Promo!A:L,12,FALSE)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</f>
        <v/>
      </c>
      <c r="K7" s="89">
        <f>IFERROR(J7/SUM(F7),0)</f>
        <v/>
      </c>
      <c r="L7" s="73" t="n">
        <v>14497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127072.32</v>
      </c>
      <c r="C8" s="73" t="n">
        <v>92237.47</v>
      </c>
      <c r="D8" s="73" t="n">
        <v>112508.16</v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VLOOKUP(A8,Promo!A:L,12,FALSE)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</f>
        <v/>
      </c>
      <c r="K8" s="89">
        <f>IFERROR(J8/SUM(F8),0)</f>
        <v/>
      </c>
      <c r="L8" s="73" t="n">
        <v>4134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354792.07</v>
      </c>
      <c r="C9" s="73" t="n">
        <v>322540</v>
      </c>
      <c r="D9" s="73" t="n">
        <v>355321</v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VLOOKUP(A9,Promo!A:L,12,FALSE)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</f>
        <v/>
      </c>
      <c r="K9" s="89">
        <f>IFERROR(J9/SUM(F9),0)</f>
        <v/>
      </c>
      <c r="L9" s="73" t="n">
        <v>16550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162214.98</v>
      </c>
      <c r="C10" s="73" t="n">
        <v>146854.8</v>
      </c>
      <c r="D10" s="73" t="n">
        <v>153600.97</v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VLOOKUP(A10,Promo!A:L,12,FALSE)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</f>
        <v/>
      </c>
      <c r="K10" s="89">
        <f>IFERROR(J10/SUM(F10),0)</f>
        <v/>
      </c>
      <c r="L10" s="73" t="n">
        <v>9510.700000000001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339050.03</v>
      </c>
      <c r="C11" s="73" t="n">
        <v>329307.73</v>
      </c>
      <c r="D11" s="73" t="n">
        <v>339268.89</v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VLOOKUP(A11,Promo!A:L,12,FALSE)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</f>
        <v/>
      </c>
      <c r="K11" s="89">
        <f>IFERROR(J11/SUM(F11),0)</f>
        <v/>
      </c>
      <c r="L11" s="73" t="n">
        <v>21828.1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164881.56</v>
      </c>
      <c r="C12" s="73" t="n">
        <v>112539.35</v>
      </c>
      <c r="D12" s="73" t="n">
        <v>151174.76</v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VLOOKUP(A12,Promo!A:L,12,FALSE)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</f>
        <v/>
      </c>
      <c r="K12" s="89">
        <f>IFERROR(J12/SUM(F12),0)</f>
        <v/>
      </c>
      <c r="L12" s="73" t="n">
        <v>14036.4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220450.34</v>
      </c>
      <c r="C13" s="73" t="n">
        <v>207590.85</v>
      </c>
      <c r="D13" s="73" t="n">
        <v>230113.69</v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VLOOKUP(A13,Promo!A:L,12,FALSE)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</f>
        <v/>
      </c>
      <c r="K13" s="89">
        <f>IFERROR(J13/SUM(F13),0)</f>
        <v/>
      </c>
      <c r="L13" s="73" t="n">
        <v>12958.5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70723.91</v>
      </c>
      <c r="C14" s="73" t="n">
        <v>76807.19</v>
      </c>
      <c r="D14" s="73" t="n">
        <v>91086.52</v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VLOOKUP(A14,Promo!A:L,12,FALSE)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</f>
        <v/>
      </c>
      <c r="K14" s="89">
        <f>IFERROR(J14/SUM(F14),0)</f>
        <v/>
      </c>
      <c r="L14" s="73" t="n">
        <v>6278.95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156695.27</v>
      </c>
      <c r="C15" s="73" t="n">
        <v>141484.38</v>
      </c>
      <c r="D15" s="73" t="n">
        <v>223622.64</v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VLOOKUP(A15,Promo!A:L,12,FALSE)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</f>
        <v/>
      </c>
      <c r="K15" s="89">
        <f>IFERROR(J15/SUM(F15),0)</f>
        <v/>
      </c>
      <c r="L15" s="73" t="n">
        <v>3958.33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139497.94</v>
      </c>
      <c r="C16" s="73" t="n">
        <v>125999.04</v>
      </c>
      <c r="D16" s="73" t="n">
        <v>152677.41</v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VLOOKUP(A16,Promo!A:L,12,FALSE)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</f>
        <v/>
      </c>
      <c r="K16" s="89">
        <f>IFERROR(J16/SUM(F16),0)</f>
        <v/>
      </c>
      <c r="L16" s="73" t="n">
        <v>10454.5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227810.49</v>
      </c>
      <c r="C17" s="73" t="n">
        <v>242535.02</v>
      </c>
      <c r="D17" s="73" t="n">
        <v>217932.85</v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VLOOKUP(A17,Promo!A:L,12,FALSE)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</f>
        <v/>
      </c>
      <c r="K17" s="89">
        <f>IFERROR(J17/SUM(F17),0)</f>
        <v/>
      </c>
      <c r="L17" s="73" t="n">
        <v>15077.98</v>
      </c>
    </row>
    <row r="18" ht="15.6" customFormat="1" customHeight="1" s="70">
      <c r="A18" s="40" t="inlineStr">
        <is>
          <t>Queenswood</t>
        </is>
      </c>
      <c r="B18" s="102" t="n">
        <v>195684.66</v>
      </c>
      <c r="C18" s="73" t="n">
        <v>0</v>
      </c>
      <c r="D18" s="73" t="n">
        <v>189463.02</v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VLOOKUP(A18,Promo!A:L,12,FALSE)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</f>
        <v/>
      </c>
      <c r="K18" s="89">
        <f>IFERROR(J18/SUM(F18),0)</f>
        <v/>
      </c>
      <c r="L18" s="73" t="n">
        <v>3343.2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268849.73</v>
      </c>
      <c r="C6" s="73" t="n">
        <v>263381.39</v>
      </c>
      <c r="D6" s="73" t="n">
        <v>339552.82</v>
      </c>
      <c r="E6" s="86" t="n">
        <v>0.2892058167055766</v>
      </c>
      <c r="F6" s="74" t="n">
        <v>2723</v>
      </c>
      <c r="G6" s="63" t="n">
        <v>124.6980609621741</v>
      </c>
      <c r="H6" s="61" t="n">
        <v>70</v>
      </c>
      <c r="I6" s="28" t="n">
        <v>0.02570694087403599</v>
      </c>
      <c r="J6" s="46" t="n">
        <v>761</v>
      </c>
      <c r="K6" s="89" t="n">
        <v>0.2794711715020198</v>
      </c>
      <c r="L6" s="73" t="n">
        <v>13450.89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247782.44</v>
      </c>
      <c r="C7" s="73" t="n">
        <v>210661.12</v>
      </c>
      <c r="D7" s="73" t="n">
        <v>237354.06</v>
      </c>
      <c r="E7" s="86" t="n">
        <v>0.1267103298415958</v>
      </c>
      <c r="F7" s="74" t="n">
        <v>1882</v>
      </c>
      <c r="G7" s="63" t="n">
        <v>126.117991498406</v>
      </c>
      <c r="H7" s="61" t="n">
        <v>89</v>
      </c>
      <c r="I7" s="28" t="n">
        <v>0.04729011689691817</v>
      </c>
      <c r="J7" s="46" t="n">
        <v>1073</v>
      </c>
      <c r="K7" s="89" t="n">
        <v>0.5701381509032943</v>
      </c>
      <c r="L7" s="73" t="n">
        <v>15563.35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112508.16</v>
      </c>
      <c r="C8" s="73" t="n">
        <v>100413.54</v>
      </c>
      <c r="D8" s="73" t="n">
        <v>127846.77</v>
      </c>
      <c r="E8" s="86" t="n">
        <v>0.2732024983881657</v>
      </c>
      <c r="F8" s="74" t="n">
        <v>1021</v>
      </c>
      <c r="G8" s="63" t="n">
        <v>125.217208619001</v>
      </c>
      <c r="H8" s="61" t="n">
        <v>26</v>
      </c>
      <c r="I8" s="28" t="n">
        <v>0.02546523016650343</v>
      </c>
      <c r="J8" s="46" t="n">
        <v>344</v>
      </c>
      <c r="K8" s="89" t="n">
        <v>0.33692458374143</v>
      </c>
      <c r="L8" s="73" t="n">
        <v>5138.5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355321</v>
      </c>
      <c r="C9" s="73" t="n">
        <v>358813.66</v>
      </c>
      <c r="D9" s="73" t="n">
        <v>394259.89</v>
      </c>
      <c r="E9" s="86" t="n">
        <v>0.09878729254622035</v>
      </c>
      <c r="F9" s="74" t="n">
        <v>3137</v>
      </c>
      <c r="G9" s="63" t="n">
        <v>125.6805514823079</v>
      </c>
      <c r="H9" s="61" t="n">
        <v>67</v>
      </c>
      <c r="I9" s="28" t="n">
        <v>0.02135798533630857</v>
      </c>
      <c r="J9" s="46" t="n">
        <v>974</v>
      </c>
      <c r="K9" s="89" t="n">
        <v>0.3104877271278291</v>
      </c>
      <c r="L9" s="73" t="n">
        <v>15704.9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153600.97</v>
      </c>
      <c r="C10" s="73" t="n">
        <v>157515.75</v>
      </c>
      <c r="D10" s="73" t="n">
        <v>134544.66</v>
      </c>
      <c r="E10" s="86" t="n">
        <v>-0.1458336071154789</v>
      </c>
      <c r="F10" s="74" t="n">
        <v>938</v>
      </c>
      <c r="G10" s="63" t="n">
        <v>143.4378038379531</v>
      </c>
      <c r="H10" s="61" t="n">
        <v>33</v>
      </c>
      <c r="I10" s="28" t="n">
        <v>0.03518123667377399</v>
      </c>
      <c r="J10" s="46" t="n">
        <v>582</v>
      </c>
      <c r="K10" s="89" t="n">
        <v>0.6204690831556503</v>
      </c>
      <c r="L10" s="73" t="n">
        <v>5905.85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339268.89</v>
      </c>
      <c r="C11" s="73" t="n">
        <v>338439.21</v>
      </c>
      <c r="D11" s="73" t="n">
        <v>369279.11</v>
      </c>
      <c r="E11" s="86" t="n">
        <v>0.09112389784859729</v>
      </c>
      <c r="F11" s="74" t="n">
        <v>2550</v>
      </c>
      <c r="G11" s="63" t="n">
        <v>144.8153372549019</v>
      </c>
      <c r="H11" s="61" t="n">
        <v>127</v>
      </c>
      <c r="I11" s="28" t="n">
        <v>0.04980392156862745</v>
      </c>
      <c r="J11" s="46" t="n">
        <v>1529</v>
      </c>
      <c r="K11" s="89" t="n">
        <v>0.5996078431372549</v>
      </c>
      <c r="L11" s="73" t="n">
        <v>17329.7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151174.76</v>
      </c>
      <c r="C12" s="73" t="n">
        <v>124684</v>
      </c>
      <c r="D12" s="73" t="n">
        <v>166773.71</v>
      </c>
      <c r="E12" s="86" t="n">
        <v>0.3375710596387667</v>
      </c>
      <c r="F12" s="74" t="n">
        <v>1373</v>
      </c>
      <c r="G12" s="63" t="n">
        <v>121.4666496722505</v>
      </c>
      <c r="H12" s="61" t="n">
        <v>36</v>
      </c>
      <c r="I12" s="28" t="n">
        <v>0.02621995630007283</v>
      </c>
      <c r="J12" s="46" t="n">
        <v>591</v>
      </c>
      <c r="K12" s="89" t="n">
        <v>0.4304442825928623</v>
      </c>
      <c r="L12" s="73" t="n">
        <v>12609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230113.69</v>
      </c>
      <c r="C13" s="73" t="n">
        <v>210553.62</v>
      </c>
      <c r="D13" s="73" t="n">
        <v>231068.59</v>
      </c>
      <c r="E13" s="86" t="n">
        <v>0.09743347086599605</v>
      </c>
      <c r="F13" s="74" t="n">
        <v>1791</v>
      </c>
      <c r="G13" s="63" t="n">
        <v>129.0165214963707</v>
      </c>
      <c r="H13" s="61" t="n">
        <v>68</v>
      </c>
      <c r="I13" s="28" t="n">
        <v>0.03796761585706309</v>
      </c>
      <c r="J13" s="46" t="n">
        <v>1076</v>
      </c>
      <c r="K13" s="89" t="n">
        <v>0.6007816862088219</v>
      </c>
      <c r="L13" s="73" t="n">
        <v>10344.5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91086.52</v>
      </c>
      <c r="C14" s="73" t="n">
        <v>110413.04</v>
      </c>
      <c r="D14" s="73" t="n">
        <v>109167.39</v>
      </c>
      <c r="E14" s="86" t="n">
        <v>-0.01128172904214932</v>
      </c>
      <c r="F14" s="74" t="n">
        <v>574</v>
      </c>
      <c r="G14" s="63" t="n">
        <v>190.1870905923345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10519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223622.64</v>
      </c>
      <c r="C15" s="73" t="n">
        <v>171625.98</v>
      </c>
      <c r="D15" s="73" t="n">
        <v>407133.91</v>
      </c>
      <c r="E15" s="86" t="n">
        <v>1.372216082903066</v>
      </c>
      <c r="F15" s="74" t="n">
        <v>3699</v>
      </c>
      <c r="G15" s="63" t="n">
        <v>110.0659394430927</v>
      </c>
      <c r="H15" s="61" t="n">
        <v>47</v>
      </c>
      <c r="I15" s="28" t="n">
        <v>0.01270613679372803</v>
      </c>
      <c r="J15" s="46" t="n">
        <v>875</v>
      </c>
      <c r="K15" s="89" t="n">
        <v>0.2365504190321709</v>
      </c>
      <c r="L15" s="73" t="n">
        <v>11067.5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152677.41</v>
      </c>
      <c r="C16" s="73" t="n">
        <v>162972.82</v>
      </c>
      <c r="D16" s="73" t="n">
        <v>164652.97</v>
      </c>
      <c r="E16" s="86" t="n">
        <v>0.01030938778625782</v>
      </c>
      <c r="F16" s="74" t="n">
        <v>1130</v>
      </c>
      <c r="G16" s="63" t="n">
        <v>145.710592920354</v>
      </c>
      <c r="H16" s="61" t="n">
        <v>28</v>
      </c>
      <c r="I16" s="28" t="n">
        <v>0.0247787610619469</v>
      </c>
      <c r="J16" s="46" t="n">
        <v>443</v>
      </c>
      <c r="K16" s="89" t="n">
        <v>0.3920353982300885</v>
      </c>
      <c r="L16" s="73" t="n">
        <v>7641.5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217932.85</v>
      </c>
      <c r="C17" s="73" t="n">
        <v>229097.1</v>
      </c>
      <c r="D17" s="73" t="n">
        <v>250243.46</v>
      </c>
      <c r="E17" s="86" t="n">
        <v>0.0923030453026249</v>
      </c>
      <c r="F17" s="74" t="n">
        <v>1701</v>
      </c>
      <c r="G17" s="63" t="n">
        <v>147.1154967666079</v>
      </c>
      <c r="H17" s="61" t="n">
        <v>75</v>
      </c>
      <c r="I17" s="28" t="n">
        <v>0.04409171075837742</v>
      </c>
      <c r="J17" s="46" t="n">
        <v>1338</v>
      </c>
      <c r="K17" s="89" t="n">
        <v>0.7865961199294532</v>
      </c>
      <c r="L17" s="73" t="n">
        <v>13245.75</v>
      </c>
    </row>
    <row r="18" ht="15.6" customFormat="1" customHeight="1" s="70">
      <c r="A18" s="40" t="inlineStr">
        <is>
          <t>Queenswood</t>
        </is>
      </c>
      <c r="B18" s="102" t="n">
        <v>189463.02</v>
      </c>
      <c r="C18" s="73" t="n">
        <v>0</v>
      </c>
      <c r="D18" s="73" t="n">
        <v>196899.77</v>
      </c>
      <c r="E18" s="86" t="n">
        <v>0</v>
      </c>
      <c r="F18" s="74" t="n">
        <v>1659</v>
      </c>
      <c r="G18" s="63" t="n">
        <v>116.9302279005525</v>
      </c>
      <c r="H18" s="61" t="n">
        <v>79</v>
      </c>
      <c r="I18" s="28" t="n">
        <v>0.05455801104972376</v>
      </c>
      <c r="J18" s="46" t="n">
        <v>493</v>
      </c>
      <c r="K18" s="89" t="n">
        <v>0.3404696132596685</v>
      </c>
      <c r="L18" s="73" t="n">
        <v>6051.7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339552.82</v>
      </c>
      <c r="C6" s="73" t="n">
        <v>266247.3</v>
      </c>
      <c r="D6" s="73" t="n">
        <v>302665.29</v>
      </c>
      <c r="E6" s="86" t="n">
        <v>0.1367825701894441</v>
      </c>
      <c r="F6" s="74" t="n">
        <v>2430</v>
      </c>
      <c r="G6" s="63" t="n">
        <v>124.5536172839506</v>
      </c>
      <c r="H6" s="61">
        <f>VLOOKUP(A6,Promo!A:N,14,FALSE)</f>
        <v/>
      </c>
      <c r="I6" s="28" t="n">
        <v>0.0008230452674897119</v>
      </c>
      <c r="J6" s="46">
        <f>H6+'18 Mar- 24 Mar'!J6</f>
        <v/>
      </c>
      <c r="K6" s="89" t="n">
        <v>0.3139917695473251</v>
      </c>
      <c r="L6" s="73" t="n">
        <v>13268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237354.06</v>
      </c>
      <c r="C7" s="73" t="n">
        <v>223509</v>
      </c>
      <c r="D7" s="73" t="n">
        <v>258147.93</v>
      </c>
      <c r="E7" s="86" t="n">
        <v>0.1549777861294176</v>
      </c>
      <c r="F7" s="74" t="n">
        <v>2104</v>
      </c>
      <c r="G7" s="63" t="n">
        <v>122.6938830798479</v>
      </c>
      <c r="H7" s="61">
        <f>VLOOKUP(A7,Promo!A:N,14,FALSE)</f>
        <v/>
      </c>
      <c r="I7" s="28" t="n">
        <v>0.004752851711026616</v>
      </c>
      <c r="J7" s="46">
        <f>H7+'18 Mar- 24 Mar'!J7</f>
        <v/>
      </c>
      <c r="K7" s="89" t="n">
        <v>0.5147338403041825</v>
      </c>
      <c r="L7" s="73" t="n">
        <v>14850.9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127846.77</v>
      </c>
      <c r="C8" s="73" t="n">
        <v>107411.5</v>
      </c>
      <c r="D8" s="73" t="n">
        <v>136569.38</v>
      </c>
      <c r="E8" s="86" t="n">
        <v>0.2714595736955541</v>
      </c>
      <c r="F8" s="74" t="n">
        <v>1015</v>
      </c>
      <c r="G8" s="63" t="n">
        <v>134.5511133004926</v>
      </c>
      <c r="H8" s="61">
        <f>VLOOKUP(A8,Promo!A:N,14,FALSE)</f>
        <v/>
      </c>
      <c r="I8" s="28" t="n">
        <v>0.002955665024630542</v>
      </c>
      <c r="J8" s="46">
        <f>H8+'18 Mar- 24 Mar'!J8</f>
        <v/>
      </c>
      <c r="K8" s="89" t="n">
        <v>0.341871921182266</v>
      </c>
      <c r="L8" s="73" t="n">
        <v>5991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394259.89</v>
      </c>
      <c r="C9" s="73" t="n">
        <v>373097.4</v>
      </c>
      <c r="D9" s="73" t="n">
        <v>373516.14</v>
      </c>
      <c r="E9" s="86" t="n">
        <v>0.001122334275178521</v>
      </c>
      <c r="F9" s="74" t="n">
        <v>2897</v>
      </c>
      <c r="G9" s="63" t="n">
        <v>128.9320469451156</v>
      </c>
      <c r="H9" s="61">
        <f>VLOOKUP(A9,Promo!A:N,14,FALSE)</f>
        <v/>
      </c>
      <c r="I9" s="28" t="n">
        <v>0.0006903693476009665</v>
      </c>
      <c r="J9" s="46">
        <f>H9+'18 Mar- 24 Mar'!J9</f>
        <v/>
      </c>
      <c r="K9" s="89" t="n">
        <v>0.3369002416292717</v>
      </c>
      <c r="L9" s="73" t="n">
        <v>13279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134544.66</v>
      </c>
      <c r="C10" s="73" t="n">
        <v>133152.7</v>
      </c>
      <c r="D10" s="73" t="n">
        <v>160533.82</v>
      </c>
      <c r="E10" s="86" t="n">
        <v>0.2056369867077422</v>
      </c>
      <c r="F10" s="74" t="n">
        <v>1021</v>
      </c>
      <c r="G10" s="63" t="n">
        <v>157.2319490695397</v>
      </c>
      <c r="H10" s="61">
        <f>VLOOKUP(A10,Promo!A:N,14,FALSE)</f>
        <v/>
      </c>
      <c r="I10" s="28" t="n">
        <v>0.0009794319294809011</v>
      </c>
      <c r="J10" s="46">
        <f>H10+'18 Mar- 24 Mar'!J10</f>
        <v/>
      </c>
      <c r="K10" s="89" t="n">
        <v>0.5710088148873653</v>
      </c>
      <c r="L10" s="73" t="n">
        <v>10136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369279.11</v>
      </c>
      <c r="C11" s="73" t="n">
        <v>331751.3</v>
      </c>
      <c r="D11" s="73" t="n">
        <v>390104.3</v>
      </c>
      <c r="E11" s="86" t="n">
        <v>0.175893809609789</v>
      </c>
      <c r="F11" s="74" t="n">
        <v>2427</v>
      </c>
      <c r="G11" s="63" t="n">
        <v>160.7351874742481</v>
      </c>
      <c r="H11" s="61">
        <f>VLOOKUP(A11,Promo!A:N,14,FALSE)</f>
        <v/>
      </c>
      <c r="I11" s="28" t="n">
        <v>0.00288421920065925</v>
      </c>
      <c r="J11" s="46">
        <f>H11+'18 Mar- 24 Mar'!J11</f>
        <v/>
      </c>
      <c r="K11" s="89" t="n">
        <v>0.6328800988875154</v>
      </c>
      <c r="L11" s="73" t="n">
        <v>18267.85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166773.71</v>
      </c>
      <c r="C12" s="73" t="n">
        <v>117570.6</v>
      </c>
      <c r="D12" s="73" t="n">
        <v>145176.81</v>
      </c>
      <c r="E12" s="86" t="n">
        <v>0.2348053850197242</v>
      </c>
      <c r="F12" s="74" t="n">
        <v>1220</v>
      </c>
      <c r="G12" s="63" t="n">
        <v>118.9973852459016</v>
      </c>
      <c r="H12" s="61">
        <f>VLOOKUP(A12,Promo!A:N,14,FALSE)</f>
        <v/>
      </c>
      <c r="I12" s="28" t="n">
        <v>0</v>
      </c>
      <c r="J12" s="46">
        <f>H12+'18 Mar- 24 Mar'!J12</f>
        <v/>
      </c>
      <c r="K12" s="89" t="n">
        <v>0.4844262295081967</v>
      </c>
      <c r="L12" s="73" t="n">
        <v>14885.4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231068.59</v>
      </c>
      <c r="C13" s="73" t="n">
        <v>216182.3</v>
      </c>
      <c r="D13" s="73" t="n">
        <v>248268.47</v>
      </c>
      <c r="E13" s="86" t="n">
        <v>0.1484218180674367</v>
      </c>
      <c r="F13" s="74" t="n">
        <v>1846</v>
      </c>
      <c r="G13" s="63" t="n">
        <v>134.4899620801733</v>
      </c>
      <c r="H13" s="61">
        <f>VLOOKUP(A13,Promo!A:N,14,FALSE)</f>
        <v/>
      </c>
      <c r="I13" s="28" t="n">
        <v>0</v>
      </c>
      <c r="J13" s="46">
        <f>H13+'18 Mar- 24 Mar'!J13</f>
        <v/>
      </c>
      <c r="K13" s="89" t="n">
        <v>0.5828819068255688</v>
      </c>
      <c r="L13" s="73" t="n">
        <v>10811.45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109167.39</v>
      </c>
      <c r="C14" s="73" t="n">
        <v>92989.97</v>
      </c>
      <c r="D14" s="73" t="n">
        <v>111265.86</v>
      </c>
      <c r="E14" s="86" t="n">
        <v>0.196536142553869</v>
      </c>
      <c r="F14" s="74" t="n">
        <v>595</v>
      </c>
      <c r="G14" s="63" t="n">
        <v>187.0014453781513</v>
      </c>
      <c r="H14" s="61">
        <f>VLOOKUP(A14,Promo!A:N,14,FALSE)</f>
        <v/>
      </c>
      <c r="I14" s="28" t="n">
        <v>0</v>
      </c>
      <c r="J14" s="46">
        <f>H14+'18 Mar- 24 Mar'!J14</f>
        <v/>
      </c>
      <c r="K14" s="89" t="n">
        <v>0</v>
      </c>
      <c r="L14" s="73" t="n">
        <v>8843.360000000001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407133.91</v>
      </c>
      <c r="C15" s="73" t="n">
        <v>333749</v>
      </c>
      <c r="D15" s="73" t="n">
        <v>374034.67</v>
      </c>
      <c r="E15" s="86" t="n">
        <v>0.1207064890082067</v>
      </c>
      <c r="F15" s="74" t="n">
        <v>2786</v>
      </c>
      <c r="G15" s="63" t="n">
        <v>134.2550861450108</v>
      </c>
      <c r="H15" s="61">
        <f>VLOOKUP(A15,Promo!A:N,14,FALSE)</f>
        <v/>
      </c>
      <c r="I15" s="28" t="n">
        <v>0</v>
      </c>
      <c r="J15" s="46">
        <f>H15+'18 Mar- 24 Mar'!J15</f>
        <v/>
      </c>
      <c r="K15" s="89" t="n">
        <v>0.314070351758794</v>
      </c>
      <c r="L15" s="73" t="n">
        <v>2787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164652.97</v>
      </c>
      <c r="C16" s="73" t="n">
        <v>156551.9</v>
      </c>
      <c r="D16" s="73" t="n">
        <v>163350.7</v>
      </c>
      <c r="E16" s="86" t="n">
        <v>0.04342840936456228</v>
      </c>
      <c r="F16" s="74" t="n">
        <v>1066</v>
      </c>
      <c r="G16" s="63" t="n">
        <v>153.2370544090057</v>
      </c>
      <c r="H16" s="61">
        <f>VLOOKUP(A16,Promo!A:N,14,FALSE)</f>
        <v/>
      </c>
      <c r="I16" s="28" t="n">
        <v>0.001876172607879925</v>
      </c>
      <c r="J16" s="46">
        <f>H16+'18 Mar- 24 Mar'!J16</f>
        <v/>
      </c>
      <c r="K16" s="89" t="n">
        <v>0.4174484052532833</v>
      </c>
      <c r="L16" s="73" t="n">
        <v>12108.7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250243.46</v>
      </c>
      <c r="C17" s="73" t="n">
        <v>242554.6</v>
      </c>
      <c r="D17" s="73" t="n">
        <v>228911.17</v>
      </c>
      <c r="E17" s="86" t="n">
        <v>-0.05624890230900586</v>
      </c>
      <c r="F17" s="74" t="n">
        <v>1629</v>
      </c>
      <c r="G17" s="63" t="n">
        <v>140.522510742787</v>
      </c>
      <c r="H17" s="61">
        <f>VLOOKUP(A17,Promo!A:N,14,FALSE)</f>
        <v/>
      </c>
      <c r="I17" s="28" t="n">
        <v>0.001841620626151013</v>
      </c>
      <c r="J17" s="46">
        <f>H17+'18 Mar- 24 Mar'!J17</f>
        <v/>
      </c>
      <c r="K17" s="89" t="n">
        <v>0.8232044198895028</v>
      </c>
      <c r="L17" s="73" t="n">
        <v>15125.3</v>
      </c>
    </row>
    <row r="18" ht="15.6" customFormat="1" customHeight="1" s="70">
      <c r="A18" s="40" t="inlineStr">
        <is>
          <t>Queenswood</t>
        </is>
      </c>
      <c r="B18" s="102" t="n">
        <v>196899.77</v>
      </c>
      <c r="C18" s="73" t="n">
        <v>0</v>
      </c>
      <c r="D18" s="73" t="n">
        <v>184896.66</v>
      </c>
      <c r="E18" s="86" t="n">
        <v>0</v>
      </c>
      <c r="F18" s="74" t="n">
        <v>1430</v>
      </c>
      <c r="G18" s="63" t="n">
        <v>129.2983636363636</v>
      </c>
      <c r="H18" s="61">
        <f>VLOOKUP(A18,Promo!A:N,14,FALSE)</f>
        <v/>
      </c>
      <c r="I18" s="28" t="n">
        <v>0.0006993006993006993</v>
      </c>
      <c r="J18" s="46">
        <f>H18+'18 Mar- 24 Mar'!J18</f>
        <v/>
      </c>
      <c r="K18" s="89" t="n">
        <v>0.3454545454545455</v>
      </c>
      <c r="L18" s="73" t="n">
        <v>3608.5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302665.29</v>
      </c>
      <c r="C6" s="73" t="n">
        <v>280351.31</v>
      </c>
      <c r="D6" s="73" t="n">
        <v>248530.67</v>
      </c>
      <c r="E6" s="86" t="n">
        <v>-0.113502733409735</v>
      </c>
      <c r="F6" s="74" t="n">
        <v>1898</v>
      </c>
      <c r="G6" s="63" t="n">
        <v>130.9434510010537</v>
      </c>
      <c r="H6" s="61" t="n">
        <v>77</v>
      </c>
      <c r="I6" s="28" t="n">
        <v>0.04056902002107481</v>
      </c>
      <c r="J6" s="46" t="n">
        <v>948</v>
      </c>
      <c r="K6" s="89" t="n">
        <v>0.4994731296101159</v>
      </c>
      <c r="L6" s="73" t="n">
        <v>12151.2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258147.93</v>
      </c>
      <c r="C7" s="73" t="n">
        <v>203342.33</v>
      </c>
      <c r="D7" s="73" t="n">
        <v>176666.07</v>
      </c>
      <c r="E7" s="86" t="n">
        <v>-0.1311889167395691</v>
      </c>
      <c r="F7" s="74" t="n">
        <v>1435</v>
      </c>
      <c r="G7" s="63" t="n">
        <v>123.112243902439</v>
      </c>
      <c r="H7" s="61" t="n">
        <v>65</v>
      </c>
      <c r="I7" s="28" t="n">
        <v>0.04529616724738676</v>
      </c>
      <c r="J7" s="46" t="n">
        <v>1245</v>
      </c>
      <c r="K7" s="89" t="n">
        <v>0.867595818815331</v>
      </c>
      <c r="L7" s="73" t="n">
        <v>9376.5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136569.38</v>
      </c>
      <c r="C8" s="73" t="n">
        <v>93084.27</v>
      </c>
      <c r="D8" s="73" t="n">
        <v>123407.79</v>
      </c>
      <c r="E8" s="86" t="n">
        <v>0.3257641704661807</v>
      </c>
      <c r="F8" s="74" t="n">
        <v>856</v>
      </c>
      <c r="G8" s="63" t="n">
        <v>144.1679789719626</v>
      </c>
      <c r="H8" s="61" t="n">
        <v>22</v>
      </c>
      <c r="I8" s="28" t="n">
        <v>0.02570093457943925</v>
      </c>
      <c r="J8" s="46" t="n">
        <v>400</v>
      </c>
      <c r="K8" s="89" t="n">
        <v>0.4672897196261682</v>
      </c>
      <c r="L8" s="73" t="n">
        <v>4342.1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373516.14</v>
      </c>
      <c r="C9" s="73" t="n">
        <v>395704.53</v>
      </c>
      <c r="D9" s="73" t="n">
        <v>295821.73</v>
      </c>
      <c r="E9" s="86" t="n">
        <v>-0.2524176309025323</v>
      </c>
      <c r="F9" s="74" t="n">
        <v>2310</v>
      </c>
      <c r="G9" s="63" t="n">
        <v>128.061354978355</v>
      </c>
      <c r="H9" s="61" t="n">
        <v>42</v>
      </c>
      <c r="I9" s="28" t="n">
        <v>0.01818181818181818</v>
      </c>
      <c r="J9" s="46" t="n">
        <v>1071</v>
      </c>
      <c r="K9" s="89" t="n">
        <v>0.4636363636363636</v>
      </c>
      <c r="L9" s="73" t="n">
        <v>15648.5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160533.82</v>
      </c>
      <c r="C10" s="73" t="n">
        <v>125229.44</v>
      </c>
      <c r="D10" s="73" t="n">
        <v>142866.03</v>
      </c>
      <c r="E10" s="86" t="n">
        <v>0.1408342159798846</v>
      </c>
      <c r="F10" s="74" t="n">
        <v>943</v>
      </c>
      <c r="G10" s="63" t="n">
        <v>151.5016224814422</v>
      </c>
      <c r="H10" s="61" t="n">
        <v>35</v>
      </c>
      <c r="I10" s="28" t="n">
        <v>0.03711558854718982</v>
      </c>
      <c r="J10" s="46" t="n">
        <v>644</v>
      </c>
      <c r="K10" s="89" t="n">
        <v>0.6829268292682927</v>
      </c>
      <c r="L10" s="73" t="n">
        <v>12428.8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390104.3</v>
      </c>
      <c r="C11" s="73" t="n">
        <v>307505.66</v>
      </c>
      <c r="D11" s="73" t="n">
        <v>308766.37</v>
      </c>
      <c r="E11" s="86" t="n">
        <v>0.004099794455815938</v>
      </c>
      <c r="F11" s="74" t="n">
        <v>2151</v>
      </c>
      <c r="G11" s="63" t="n">
        <v>143.54549976755</v>
      </c>
      <c r="H11" s="61" t="n">
        <v>118</v>
      </c>
      <c r="I11" s="28" t="n">
        <v>0.05485820548582055</v>
      </c>
      <c r="J11" s="46" t="n">
        <v>1787</v>
      </c>
      <c r="K11" s="89" t="n">
        <v>0.8307763830776383</v>
      </c>
      <c r="L11" s="73" t="n">
        <v>17430.05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145176.81</v>
      </c>
      <c r="C12" s="73" t="n">
        <v>103713.22</v>
      </c>
      <c r="D12" s="73" t="n">
        <v>157205.84</v>
      </c>
      <c r="E12" s="86" t="n">
        <v>0.5157743631911148</v>
      </c>
      <c r="F12" s="74" t="n">
        <v>1341</v>
      </c>
      <c r="G12" s="63" t="n">
        <v>117.2303057419836</v>
      </c>
      <c r="H12" s="61" t="n">
        <v>57</v>
      </c>
      <c r="I12" s="28" t="n">
        <v>0.04250559284116331</v>
      </c>
      <c r="J12" s="46" t="n">
        <v>697</v>
      </c>
      <c r="K12" s="89" t="n">
        <v>0.5197613721103654</v>
      </c>
      <c r="L12" s="73" t="n">
        <v>15295.25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248268.47</v>
      </c>
      <c r="C13" s="73" t="n">
        <v>203812.72</v>
      </c>
      <c r="D13" s="73" t="n">
        <v>205429.98</v>
      </c>
      <c r="E13" s="86" t="n">
        <v>0.007935029766542586</v>
      </c>
      <c r="F13" s="74" t="n">
        <v>1620</v>
      </c>
      <c r="G13" s="63" t="n">
        <v>126.8086296296296</v>
      </c>
      <c r="H13" s="61" t="n">
        <v>86</v>
      </c>
      <c r="I13" s="28" t="n">
        <v>0.05308641975308642</v>
      </c>
      <c r="J13" s="46" t="n">
        <v>1260</v>
      </c>
      <c r="K13" s="89" t="n">
        <v>0.7777777777777778</v>
      </c>
      <c r="L13" s="73" t="n">
        <v>11209.05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111265.86</v>
      </c>
      <c r="C14" s="73" t="n">
        <v>94763.5</v>
      </c>
      <c r="D14" s="73" t="n">
        <v>75249.56</v>
      </c>
      <c r="E14" s="86" t="n">
        <v>-0.2059225334648889</v>
      </c>
      <c r="F14" s="74" t="n">
        <v>410</v>
      </c>
      <c r="G14" s="63" t="n">
        <v>183.535512195122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5477.5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374034.67</v>
      </c>
      <c r="C15" s="73" t="n">
        <v>347847.61</v>
      </c>
      <c r="D15" s="73" t="n">
        <v>162507.67</v>
      </c>
      <c r="E15" s="86" t="n">
        <v>-0.5328193573041942</v>
      </c>
      <c r="F15" s="74" t="n">
        <v>1396</v>
      </c>
      <c r="G15" s="63" t="n">
        <v>116.409505730659</v>
      </c>
      <c r="H15" s="61" t="n">
        <v>51</v>
      </c>
      <c r="I15" s="28" t="n">
        <v>0.03653295128939828</v>
      </c>
      <c r="J15" s="46" t="n">
        <v>943</v>
      </c>
      <c r="K15" s="89" t="n">
        <v>0.6755014326647565</v>
      </c>
      <c r="L15" s="73" t="n">
        <v>10408.25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163350.7</v>
      </c>
      <c r="C16" s="73" t="n">
        <v>139422.32</v>
      </c>
      <c r="D16" s="73" t="n">
        <v>128214.39</v>
      </c>
      <c r="E16" s="86" t="n">
        <v>-0.08038834814970808</v>
      </c>
      <c r="F16" s="74" t="n">
        <v>899</v>
      </c>
      <c r="G16" s="63" t="n">
        <v>142.6188987764182</v>
      </c>
      <c r="H16" s="61" t="n">
        <v>36</v>
      </c>
      <c r="I16" s="28" t="n">
        <v>0.04004449388209121</v>
      </c>
      <c r="J16" s="46" t="n">
        <v>512</v>
      </c>
      <c r="K16" s="89" t="n">
        <v>0.5695216907675195</v>
      </c>
      <c r="L16" s="73" t="n">
        <v>7138.8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228911.17</v>
      </c>
      <c r="C17" s="73" t="n">
        <v>208703.21</v>
      </c>
      <c r="D17" s="73" t="n">
        <v>207963.92</v>
      </c>
      <c r="E17" s="86" t="n">
        <v>-0.00354230296697391</v>
      </c>
      <c r="F17" s="74" t="n">
        <v>1382</v>
      </c>
      <c r="G17" s="63" t="n">
        <v>150.4804052098408</v>
      </c>
      <c r="H17" s="61" t="n">
        <v>116</v>
      </c>
      <c r="I17" s="28" t="n">
        <v>0.08393632416787265</v>
      </c>
      <c r="J17" s="46" t="n">
        <v>1540</v>
      </c>
      <c r="K17" s="89" t="n">
        <v>1.114327062228654</v>
      </c>
      <c r="L17" s="73" t="n">
        <v>10844.8</v>
      </c>
    </row>
    <row r="18" ht="15.6" customFormat="1" customHeight="1" s="70">
      <c r="A18" s="40" t="inlineStr">
        <is>
          <t>Queenswood</t>
        </is>
      </c>
      <c r="B18" s="102" t="n">
        <v>184896.66</v>
      </c>
      <c r="C18" s="73" t="n">
        <v>0</v>
      </c>
      <c r="D18" s="73" t="n">
        <v>178583.35</v>
      </c>
      <c r="E18" s="86" t="n">
        <v>0</v>
      </c>
      <c r="F18" s="74" t="n">
        <v>1422</v>
      </c>
      <c r="G18" s="63" t="n">
        <v>125.5860407876231</v>
      </c>
      <c r="H18" s="61" t="n">
        <v>69</v>
      </c>
      <c r="I18" s="28" t="n">
        <v>0.04852320675105485</v>
      </c>
      <c r="J18" s="46" t="n">
        <v>593</v>
      </c>
      <c r="K18" s="89" t="n">
        <v>0.4170182841068917</v>
      </c>
      <c r="L18" s="73" t="n">
        <v>2513.5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248530.67</v>
      </c>
      <c r="C6" s="73" t="n">
        <v>207061.9</v>
      </c>
      <c r="D6" s="73" t="n">
        <v>201679.88</v>
      </c>
      <c r="E6" s="86" t="n">
        <v>-0.02599232403450364</v>
      </c>
      <c r="F6" s="74" t="n">
        <v>1622</v>
      </c>
      <c r="G6" s="63" t="n">
        <v>124.3402466091245</v>
      </c>
      <c r="H6" s="61" t="n">
        <v>84</v>
      </c>
      <c r="I6" s="28" t="n">
        <v>0.05178791615289766</v>
      </c>
      <c r="J6" s="46" t="n">
        <v>1032</v>
      </c>
      <c r="K6" s="89" t="n">
        <v>0.6362515413070283</v>
      </c>
      <c r="L6" s="73" t="n">
        <v>12418.15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176666.07</v>
      </c>
      <c r="C7" s="73" t="n">
        <v>190952.05</v>
      </c>
      <c r="D7" s="73" t="n">
        <v>184805.59</v>
      </c>
      <c r="E7" s="86" t="n">
        <v>-0.03218849967832235</v>
      </c>
      <c r="F7" s="74" t="n">
        <v>1513</v>
      </c>
      <c r="G7" s="63" t="n">
        <v>122.1451354923992</v>
      </c>
      <c r="H7" s="61" t="n">
        <v>101</v>
      </c>
      <c r="I7" s="28" t="n">
        <v>0.0667547918043622</v>
      </c>
      <c r="J7" s="46" t="n">
        <v>1346</v>
      </c>
      <c r="K7" s="89" t="n">
        <v>0.8896232650363516</v>
      </c>
      <c r="L7" s="73" t="n">
        <v>13003.15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123407.79</v>
      </c>
      <c r="C8" s="73" t="n">
        <v>105168.35</v>
      </c>
      <c r="D8" s="73" t="n">
        <v>128771.64</v>
      </c>
      <c r="E8" s="86" t="n">
        <v>0.2244333965494371</v>
      </c>
      <c r="F8" s="74" t="n">
        <v>925</v>
      </c>
      <c r="G8" s="63" t="n">
        <v>139.2125837837838</v>
      </c>
      <c r="H8" s="61" t="n">
        <v>35</v>
      </c>
      <c r="I8" s="28" t="n">
        <v>0.03783783783783784</v>
      </c>
      <c r="J8" s="46" t="n">
        <v>435</v>
      </c>
      <c r="K8" s="89" t="n">
        <v>0.4702702702702703</v>
      </c>
      <c r="L8" s="73" t="n">
        <v>6131.8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295821.73</v>
      </c>
      <c r="C9" s="73" t="n">
        <v>306308.54</v>
      </c>
      <c r="D9" s="73" t="n">
        <v>287782.46</v>
      </c>
      <c r="E9" s="86" t="n">
        <v>-0.06048176129859115</v>
      </c>
      <c r="F9" s="74" t="n">
        <v>2230</v>
      </c>
      <c r="G9" s="63" t="n">
        <v>129.0504304932736</v>
      </c>
      <c r="H9" s="61" t="n">
        <v>52</v>
      </c>
      <c r="I9" s="28" t="n">
        <v>0.02331838565022422</v>
      </c>
      <c r="J9" s="46" t="n">
        <v>1123</v>
      </c>
      <c r="K9" s="89" t="n">
        <v>0.5035874439461884</v>
      </c>
      <c r="L9" s="73" t="n">
        <v>12247.74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142866.03</v>
      </c>
      <c r="C10" s="73" t="n">
        <v>123497.04</v>
      </c>
      <c r="D10" s="73" t="n">
        <v>139046.1</v>
      </c>
      <c r="E10" s="86" t="n">
        <v>0.125906337512219</v>
      </c>
      <c r="F10" s="74" t="n">
        <v>898</v>
      </c>
      <c r="G10" s="63" t="n">
        <v>154.8397550111358</v>
      </c>
      <c r="H10" s="61" t="n">
        <v>36</v>
      </c>
      <c r="I10" s="28" t="n">
        <v>0.0400890868596882</v>
      </c>
      <c r="J10" s="46" t="n">
        <v>680</v>
      </c>
      <c r="K10" s="89" t="n">
        <v>0.7572383073496659</v>
      </c>
      <c r="L10" s="73" t="n">
        <v>9481.450000000001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308766.37</v>
      </c>
      <c r="C11" s="73" t="n">
        <v>298329.57</v>
      </c>
      <c r="D11" s="73" t="n">
        <v>339715.46</v>
      </c>
      <c r="E11" s="86" t="n">
        <v>0.138725403586376</v>
      </c>
      <c r="F11" s="74" t="n">
        <v>2335</v>
      </c>
      <c r="G11" s="63" t="n">
        <v>145.4884197002141</v>
      </c>
      <c r="H11" s="61" t="n">
        <v>132</v>
      </c>
      <c r="I11" s="28" t="n">
        <v>0.05653104925053533</v>
      </c>
      <c r="J11" s="46" t="n">
        <v>1919</v>
      </c>
      <c r="K11" s="89" t="n">
        <v>0.8218415417558886</v>
      </c>
      <c r="L11" s="73" t="n">
        <v>20726.9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157205.84</v>
      </c>
      <c r="C12" s="73" t="n">
        <v>120383.09</v>
      </c>
      <c r="D12" s="73" t="n">
        <v>151603.94</v>
      </c>
      <c r="E12" s="86" t="n">
        <v>0.259345810113364</v>
      </c>
      <c r="F12" s="74" t="n">
        <v>1245</v>
      </c>
      <c r="G12" s="63" t="n">
        <v>121.7702329317269</v>
      </c>
      <c r="H12" s="61" t="n">
        <v>51</v>
      </c>
      <c r="I12" s="28" t="n">
        <v>0.04096385542168675</v>
      </c>
      <c r="J12" s="46" t="n">
        <v>748</v>
      </c>
      <c r="K12" s="89" t="n">
        <v>0.6008032128514056</v>
      </c>
      <c r="L12" s="73" t="n">
        <v>16710.9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205429.98</v>
      </c>
      <c r="C13" s="73" t="n">
        <v>192172.76</v>
      </c>
      <c r="D13" s="73" t="n">
        <v>204317.08</v>
      </c>
      <c r="E13" s="86" t="n">
        <v>0.06319480450819345</v>
      </c>
      <c r="F13" s="74" t="n">
        <v>1559</v>
      </c>
      <c r="G13" s="63" t="n">
        <v>131.0564977549711</v>
      </c>
      <c r="H13" s="61" t="n">
        <v>100</v>
      </c>
      <c r="I13" s="28" t="n">
        <v>0.06414368184733804</v>
      </c>
      <c r="J13" s="46" t="n">
        <v>1360</v>
      </c>
      <c r="K13" s="89" t="n">
        <v>0.8723540731237973</v>
      </c>
      <c r="L13" s="73" t="n">
        <v>12593.25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75249.56</v>
      </c>
      <c r="C14" s="73" t="n">
        <v>73416.00999999999</v>
      </c>
      <c r="D14" s="73" t="n">
        <v>54770.8675</v>
      </c>
      <c r="E14" s="86" t="n">
        <v>-0.2539656200330145</v>
      </c>
      <c r="F14" s="74" t="n">
        <v>252</v>
      </c>
      <c r="G14" s="63" t="n">
        <v>217.3447123015873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3415.6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162507.67</v>
      </c>
      <c r="C15" s="73" t="n">
        <v>143309.31</v>
      </c>
      <c r="D15" s="73" t="n">
        <v>170092.54</v>
      </c>
      <c r="E15" s="86" t="n">
        <v>0.1868910679983039</v>
      </c>
      <c r="F15" s="74" t="n">
        <v>1686</v>
      </c>
      <c r="G15" s="63" t="n">
        <v>100.8852550415184</v>
      </c>
      <c r="H15" s="61" t="n">
        <v>71</v>
      </c>
      <c r="I15" s="28" t="n">
        <v>0.04211150652431792</v>
      </c>
      <c r="J15" s="46" t="n">
        <v>1014</v>
      </c>
      <c r="K15" s="89" t="n">
        <v>0.6014234875444839</v>
      </c>
      <c r="L15" s="73" t="n">
        <v>6960.8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128214.39</v>
      </c>
      <c r="C16" s="73" t="n">
        <v>116441.78</v>
      </c>
      <c r="D16" s="73" t="n">
        <v>112828.63</v>
      </c>
      <c r="E16" s="86" t="n">
        <v>-0.03102966993462307</v>
      </c>
      <c r="F16" s="74" t="n">
        <v>800</v>
      </c>
      <c r="G16" s="63" t="n">
        <v>141.0357875</v>
      </c>
      <c r="H16" s="61" t="n">
        <v>25</v>
      </c>
      <c r="I16" s="28" t="n">
        <v>0.03125</v>
      </c>
      <c r="J16" s="46" t="n">
        <v>537</v>
      </c>
      <c r="K16" s="89" t="n">
        <v>0.67125</v>
      </c>
      <c r="L16" s="73" t="n">
        <v>7658.4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207963.92</v>
      </c>
      <c r="C17" s="73" t="n">
        <v>178668.29</v>
      </c>
      <c r="D17" s="73" t="n">
        <v>212238.52</v>
      </c>
      <c r="E17" s="86" t="n">
        <v>0.1878913712108622</v>
      </c>
      <c r="F17" s="74" t="n">
        <v>1402</v>
      </c>
      <c r="G17" s="63" t="n">
        <v>151.3826818830242</v>
      </c>
      <c r="H17" s="61" t="n">
        <v>86</v>
      </c>
      <c r="I17" s="28" t="n">
        <v>0.06134094151212553</v>
      </c>
      <c r="J17" s="46" t="n">
        <v>1626</v>
      </c>
      <c r="K17" s="89" t="n">
        <v>1.159771754636234</v>
      </c>
      <c r="L17" s="73" t="n">
        <v>13277.75</v>
      </c>
    </row>
    <row r="18" ht="15.6" customFormat="1" customHeight="1" s="70">
      <c r="A18" s="40" t="inlineStr">
        <is>
          <t>Queenswood</t>
        </is>
      </c>
      <c r="B18" s="102" t="n">
        <v>178583.35</v>
      </c>
      <c r="C18" s="73" t="n">
        <v>0</v>
      </c>
      <c r="D18" s="73" t="n">
        <v>183791.17</v>
      </c>
      <c r="E18" s="86" t="n">
        <v>0</v>
      </c>
      <c r="F18" s="74" t="n">
        <v>1400</v>
      </c>
      <c r="G18" s="63" t="n">
        <v>131.2794071428571</v>
      </c>
      <c r="H18" s="61" t="n">
        <v>64</v>
      </c>
      <c r="I18" s="28" t="n">
        <v>0.04571428571428571</v>
      </c>
      <c r="J18" s="46" t="n">
        <v>657</v>
      </c>
      <c r="K18" s="89" t="n">
        <v>0.4692857142857143</v>
      </c>
      <c r="L18" s="73" t="n">
        <v>3637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201679.88</v>
      </c>
      <c r="C6" s="73" t="n">
        <v>197929.61</v>
      </c>
      <c r="D6" s="73" t="n">
        <v>230488.04</v>
      </c>
      <c r="E6" s="86" t="n">
        <v>0.1644949939526482</v>
      </c>
      <c r="F6" s="74" t="n">
        <v>1904</v>
      </c>
      <c r="G6" s="63" t="n">
        <v>121.0546428571429</v>
      </c>
      <c r="H6" s="61" t="n">
        <v>45</v>
      </c>
      <c r="I6" s="28" t="n">
        <v>0.0236344537815126</v>
      </c>
      <c r="J6" s="46" t="n">
        <v>1077</v>
      </c>
      <c r="K6" s="89" t="n">
        <v>0.5656512605042017</v>
      </c>
      <c r="L6" s="73" t="n">
        <v>13711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184805.59</v>
      </c>
      <c r="C7" s="73" t="n">
        <v>171542.2</v>
      </c>
      <c r="D7" s="73" t="n">
        <v>184585.22</v>
      </c>
      <c r="E7" s="86" t="n">
        <v>0.07603388553953482</v>
      </c>
      <c r="F7" s="74" t="n">
        <v>1529</v>
      </c>
      <c r="G7" s="63" t="n">
        <v>120.7228384565075</v>
      </c>
      <c r="H7" s="61" t="n">
        <v>54</v>
      </c>
      <c r="I7" s="28" t="n">
        <v>0.03531720078482668</v>
      </c>
      <c r="J7" s="46" t="n">
        <v>1400</v>
      </c>
      <c r="K7" s="89" t="n">
        <v>0.9156311314584696</v>
      </c>
      <c r="L7" s="73" t="n">
        <v>10723.4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128771.64</v>
      </c>
      <c r="C8" s="73" t="n">
        <v>103915.13</v>
      </c>
      <c r="D8" s="73" t="n">
        <v>114183.99</v>
      </c>
      <c r="E8" s="86" t="n">
        <v>0.09881968102238818</v>
      </c>
      <c r="F8" s="74" t="n">
        <v>822</v>
      </c>
      <c r="G8" s="63" t="n">
        <v>138.9099635036496</v>
      </c>
      <c r="H8" s="61" t="n">
        <v>31</v>
      </c>
      <c r="I8" s="28" t="n">
        <v>0.03771289537712896</v>
      </c>
      <c r="J8" s="46" t="n">
        <v>466</v>
      </c>
      <c r="K8" s="89" t="n">
        <v>0.5669099756690997</v>
      </c>
      <c r="L8" s="73" t="n">
        <v>4278.6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287782.46</v>
      </c>
      <c r="C9" s="73" t="n">
        <v>299662.4</v>
      </c>
      <c r="D9" s="73" t="n">
        <v>300470.18</v>
      </c>
      <c r="E9" s="86" t="n">
        <v>0.002695633486216388</v>
      </c>
      <c r="F9" s="74" t="n">
        <v>2294</v>
      </c>
      <c r="G9" s="63" t="n">
        <v>130.980897994769</v>
      </c>
      <c r="H9" s="61" t="n">
        <v>62</v>
      </c>
      <c r="I9" s="28" t="n">
        <v>0.02702702702702703</v>
      </c>
      <c r="J9" s="46" t="n">
        <v>1185</v>
      </c>
      <c r="K9" s="89" t="n">
        <v>0.516564952048823</v>
      </c>
      <c r="L9" s="73" t="n">
        <v>12473.5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139046.1</v>
      </c>
      <c r="C10" s="73" t="n">
        <v>150364.32</v>
      </c>
      <c r="D10" s="73" t="n">
        <v>128193.73</v>
      </c>
      <c r="E10" s="86" t="n">
        <v>-0.1474458169331661</v>
      </c>
      <c r="F10" s="74" t="n">
        <v>819</v>
      </c>
      <c r="G10" s="63" t="n">
        <v>156.5247008547009</v>
      </c>
      <c r="H10" s="61" t="n">
        <v>27</v>
      </c>
      <c r="I10" s="28" t="n">
        <v>0.03296703296703297</v>
      </c>
      <c r="J10" s="46" t="n">
        <v>707</v>
      </c>
      <c r="K10" s="89" t="n">
        <v>0.8632478632478633</v>
      </c>
      <c r="L10" s="73" t="n">
        <v>8034.2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339715.46</v>
      </c>
      <c r="C11" s="73" t="n">
        <v>305149.49</v>
      </c>
      <c r="D11" s="73" t="n">
        <v>308450.45</v>
      </c>
      <c r="E11" s="86" t="n">
        <v>0.01081751766978218</v>
      </c>
      <c r="F11" s="74" t="n">
        <v>1991</v>
      </c>
      <c r="G11" s="63" t="n">
        <v>154.9223756906077</v>
      </c>
      <c r="H11" s="61" t="n">
        <v>108</v>
      </c>
      <c r="I11" s="28" t="n">
        <v>0.05424409844299347</v>
      </c>
      <c r="J11" s="46" t="n">
        <v>2027</v>
      </c>
      <c r="K11" s="89" t="n">
        <v>1.018081366147664</v>
      </c>
      <c r="L11" s="73" t="n">
        <v>17256.55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151603.94</v>
      </c>
      <c r="C12" s="73" t="n">
        <v>126708.44</v>
      </c>
      <c r="D12" s="73" t="n">
        <v>140833.69</v>
      </c>
      <c r="E12" s="86" t="n">
        <v>0.1114783671869056</v>
      </c>
      <c r="F12" s="74" t="n">
        <v>1094</v>
      </c>
      <c r="G12" s="63" t="n">
        <v>128.7328062157221</v>
      </c>
      <c r="H12" s="61" t="n">
        <v>23</v>
      </c>
      <c r="I12" s="28" t="n">
        <v>0.02102376599634369</v>
      </c>
      <c r="J12" s="46" t="n">
        <v>771</v>
      </c>
      <c r="K12" s="89" t="n">
        <v>0.7047531992687386</v>
      </c>
      <c r="L12" s="73" t="n">
        <v>9580.799999999999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204317.08</v>
      </c>
      <c r="C13" s="73" t="n">
        <v>201732.63</v>
      </c>
      <c r="D13" s="73" t="n">
        <v>194170.35</v>
      </c>
      <c r="E13" s="86" t="n">
        <v>-0.03748664754928342</v>
      </c>
      <c r="F13" s="74" t="n">
        <v>1500</v>
      </c>
      <c r="G13" s="63" t="n">
        <v>129.4469</v>
      </c>
      <c r="H13" s="61" t="n">
        <v>51</v>
      </c>
      <c r="I13" s="28" t="n">
        <v>0.034</v>
      </c>
      <c r="J13" s="46" t="n">
        <v>1411</v>
      </c>
      <c r="K13" s="89" t="n">
        <v>0.9406666666666667</v>
      </c>
      <c r="L13" s="73" t="n">
        <v>10205.2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54770.8675</v>
      </c>
      <c r="C14" s="73" t="n">
        <v>57445.66</v>
      </c>
      <c r="D14" s="73" t="n">
        <v>66499.56</v>
      </c>
      <c r="E14" s="86" t="n">
        <v>0.157608076919997</v>
      </c>
      <c r="F14" s="74" t="n">
        <v>7420</v>
      </c>
      <c r="G14" s="63" t="n">
        <v>8.962204851752022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6554.88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170092.54</v>
      </c>
      <c r="C15" s="73" t="n">
        <v>121351.35</v>
      </c>
      <c r="D15" s="73" t="n">
        <v>269262.97</v>
      </c>
      <c r="E15" s="86" t="n">
        <v>1.218870824263595</v>
      </c>
      <c r="F15" s="74" t="n">
        <v>2210</v>
      </c>
      <c r="G15" s="63" t="n">
        <v>121.8384479638009</v>
      </c>
      <c r="H15" s="61" t="n">
        <v>29</v>
      </c>
      <c r="I15" s="28" t="n">
        <v>0.01312217194570136</v>
      </c>
      <c r="J15" s="46" t="n">
        <v>1043</v>
      </c>
      <c r="K15" s="89" t="n">
        <v>0.4719457013574661</v>
      </c>
      <c r="L15" s="73" t="n">
        <v>13241.12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112828.63</v>
      </c>
      <c r="C16" s="73" t="n">
        <v>106714.27</v>
      </c>
      <c r="D16" s="73" t="n">
        <v>133685.73</v>
      </c>
      <c r="E16" s="86" t="n">
        <v>0.2527446423051014</v>
      </c>
      <c r="F16" s="74" t="n">
        <v>931</v>
      </c>
      <c r="G16" s="63" t="n">
        <v>143.5936949516649</v>
      </c>
      <c r="H16" s="61" t="n">
        <v>28</v>
      </c>
      <c r="I16" s="28" t="n">
        <v>0.03007518796992481</v>
      </c>
      <c r="J16" s="46" t="n">
        <v>565</v>
      </c>
      <c r="K16" s="89" t="n">
        <v>0.6068743286788399</v>
      </c>
      <c r="L16" s="73" t="n">
        <v>6934.9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212238.52</v>
      </c>
      <c r="C17" s="73" t="n">
        <v>193747.33</v>
      </c>
      <c r="D17" s="73" t="n">
        <v>201945.52</v>
      </c>
      <c r="E17" s="86" t="n">
        <v>0.04231382182144137</v>
      </c>
      <c r="F17" s="74" t="n">
        <v>1313</v>
      </c>
      <c r="G17" s="63" t="n">
        <v>153.8046610814928</v>
      </c>
      <c r="H17" s="61" t="n">
        <v>90</v>
      </c>
      <c r="I17" s="28" t="n">
        <v>0.06854531607006854</v>
      </c>
      <c r="J17" s="46" t="n">
        <v>1716</v>
      </c>
      <c r="K17" s="89" t="n">
        <v>1.306930693069307</v>
      </c>
      <c r="L17" s="73" t="n">
        <v>10970.55</v>
      </c>
    </row>
    <row r="18" ht="15.6" customFormat="1" customHeight="1" s="70">
      <c r="A18" s="40" t="inlineStr">
        <is>
          <t>Queenswood</t>
        </is>
      </c>
      <c r="B18" s="102" t="n">
        <v>183791.17</v>
      </c>
      <c r="C18" s="73" t="n">
        <v>0</v>
      </c>
      <c r="D18" s="73" t="n">
        <v>172115.51</v>
      </c>
      <c r="E18" s="86" t="n">
        <v>0</v>
      </c>
      <c r="F18" s="74" t="n">
        <v>1435</v>
      </c>
      <c r="G18" s="63" t="n">
        <v>119.9411219512195</v>
      </c>
      <c r="H18" s="61" t="n">
        <v>40</v>
      </c>
      <c r="I18" s="28" t="n">
        <v>0.02787456445993031</v>
      </c>
      <c r="J18" s="46" t="n">
        <v>697</v>
      </c>
      <c r="K18" s="89" t="n">
        <v>0.4857142857142857</v>
      </c>
      <c r="L18" s="73" t="n">
        <v>4383.2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230488.04</v>
      </c>
      <c r="C6" s="73" t="n">
        <v>256698.91</v>
      </c>
      <c r="D6" s="73" t="n">
        <v>278639.64</v>
      </c>
      <c r="E6" s="86" t="n">
        <v>0.08547262627644196</v>
      </c>
      <c r="F6" s="74" t="n">
        <v>2227</v>
      </c>
      <c r="G6" s="63" t="n">
        <v>125.1188325101033</v>
      </c>
      <c r="H6" s="61" t="n">
        <v>67</v>
      </c>
      <c r="I6" s="28" t="n">
        <v>0.03008531656937584</v>
      </c>
      <c r="J6" s="46" t="n">
        <v>1144</v>
      </c>
      <c r="K6" s="89" t="n">
        <v>0.513695554557701</v>
      </c>
      <c r="L6" s="73" t="n">
        <v>9519.75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184585.22</v>
      </c>
      <c r="C7" s="73" t="n">
        <v>181356.98</v>
      </c>
      <c r="D7" s="73" t="n">
        <v>205425.47</v>
      </c>
      <c r="E7" s="86" t="n">
        <v>0.132713336977711</v>
      </c>
      <c r="F7" s="74" t="n">
        <v>1575</v>
      </c>
      <c r="G7" s="63" t="n">
        <v>130.4288698412698</v>
      </c>
      <c r="H7" s="61" t="n">
        <v>58</v>
      </c>
      <c r="I7" s="28" t="n">
        <v>0.03682539682539682</v>
      </c>
      <c r="J7" s="46" t="n">
        <v>1458</v>
      </c>
      <c r="K7" s="89" t="n">
        <v>0.9257142857142857</v>
      </c>
      <c r="L7" s="73" t="n">
        <v>10708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114183.99</v>
      </c>
      <c r="C8" s="73" t="n">
        <v>109660.7</v>
      </c>
      <c r="D8" s="73" t="n">
        <v>125462.37</v>
      </c>
      <c r="E8" s="86" t="n">
        <v>0.1440960161662291</v>
      </c>
      <c r="F8" s="74" t="n">
        <v>807</v>
      </c>
      <c r="G8" s="63" t="n">
        <v>155.4676208178439</v>
      </c>
      <c r="H8" s="61" t="n">
        <v>9</v>
      </c>
      <c r="I8" s="28" t="n">
        <v>0.01115241635687732</v>
      </c>
      <c r="J8" s="46" t="n">
        <v>475</v>
      </c>
      <c r="K8" s="89" t="n">
        <v>0.5885997521685254</v>
      </c>
      <c r="L8" s="73" t="n">
        <v>4425.5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300470.18</v>
      </c>
      <c r="C9" s="73" t="n">
        <v>331693.38</v>
      </c>
      <c r="D9" s="73" t="n">
        <v>341411.74</v>
      </c>
      <c r="E9" s="86" t="n">
        <v>0.0292992281003618</v>
      </c>
      <c r="F9" s="74" t="n">
        <v>2484</v>
      </c>
      <c r="G9" s="63" t="n">
        <v>137.4443397745572</v>
      </c>
      <c r="H9" s="61" t="n">
        <v>68</v>
      </c>
      <c r="I9" s="28" t="n">
        <v>0.02737520128824477</v>
      </c>
      <c r="J9" s="46" t="n">
        <v>1253</v>
      </c>
      <c r="K9" s="89" t="n">
        <v>0.5044283413848631</v>
      </c>
      <c r="L9" s="73" t="n">
        <v>14039.7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128193.73</v>
      </c>
      <c r="C10" s="73" t="n">
        <v>128841.5</v>
      </c>
      <c r="D10" s="73" t="n">
        <v>137627.16</v>
      </c>
      <c r="E10" s="86" t="n">
        <v>0.06818967491064605</v>
      </c>
      <c r="F10" s="74" t="n">
        <v>850</v>
      </c>
      <c r="G10" s="63" t="n">
        <v>161.9143058823529</v>
      </c>
      <c r="H10" s="61" t="n">
        <v>54</v>
      </c>
      <c r="I10" s="28" t="n">
        <v>0.06352941176470588</v>
      </c>
      <c r="J10" s="46" t="n">
        <v>761</v>
      </c>
      <c r="K10" s="89" t="n">
        <v>0.8952941176470588</v>
      </c>
      <c r="L10" s="73" t="n">
        <v>7411.1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308450.45</v>
      </c>
      <c r="C11" s="73" t="n">
        <v>305554.94</v>
      </c>
      <c r="D11" s="73" t="n">
        <v>342630.09</v>
      </c>
      <c r="E11" s="86" t="n">
        <v>0.1213370989845558</v>
      </c>
      <c r="F11" s="74" t="n">
        <v>2314</v>
      </c>
      <c r="G11" s="63" t="n">
        <v>148.0683189282628</v>
      </c>
      <c r="H11" s="61" t="n">
        <v>85</v>
      </c>
      <c r="I11" s="28" t="n">
        <v>0.03673292999135696</v>
      </c>
      <c r="J11" s="46" t="n">
        <v>2112</v>
      </c>
      <c r="K11" s="89" t="n">
        <v>0.9127052722558341</v>
      </c>
      <c r="L11" s="73" t="n">
        <v>18913.05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140833.69</v>
      </c>
      <c r="C12" s="73" t="n">
        <v>100037.08</v>
      </c>
      <c r="D12" s="73" t="n">
        <v>163242.43</v>
      </c>
      <c r="E12" s="86" t="n">
        <v>0.6318192214326926</v>
      </c>
      <c r="F12" s="74" t="n">
        <v>1495</v>
      </c>
      <c r="G12" s="63" t="n">
        <v>109.1922608695652</v>
      </c>
      <c r="H12" s="61" t="n">
        <v>28</v>
      </c>
      <c r="I12" s="28" t="n">
        <v>0.01872909698996655</v>
      </c>
      <c r="J12" s="46" t="n">
        <v>799</v>
      </c>
      <c r="K12" s="89" t="n">
        <v>0.534448160535117</v>
      </c>
      <c r="L12" s="73" t="n">
        <v>12026.3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194170.35</v>
      </c>
      <c r="C13" s="73" t="n">
        <v>205831.62</v>
      </c>
      <c r="D13" s="73" t="n">
        <v>206365.41</v>
      </c>
      <c r="E13" s="86" t="n">
        <v>0.002593333327503365</v>
      </c>
      <c r="F13" s="74" t="n">
        <v>1518</v>
      </c>
      <c r="G13" s="63" t="n">
        <v>135.9455928853755</v>
      </c>
      <c r="H13" s="61" t="n">
        <v>64</v>
      </c>
      <c r="I13" s="28" t="n">
        <v>0.04216073781291173</v>
      </c>
      <c r="J13" s="46" t="n">
        <v>1475</v>
      </c>
      <c r="K13" s="89" t="n">
        <v>0.9716732542819499</v>
      </c>
      <c r="L13" s="73" t="n">
        <v>7669.75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66499.56</v>
      </c>
      <c r="C14" s="73" t="n">
        <v>77817.57000000001</v>
      </c>
      <c r="D14" s="73" t="n">
        <v>95538.25999999999</v>
      </c>
      <c r="E14" s="86" t="n">
        <v>0.2277209375723244</v>
      </c>
      <c r="F14" s="74" t="n">
        <v>557</v>
      </c>
      <c r="G14" s="63" t="n">
        <v>171.522908438061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1122.5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269262.97</v>
      </c>
      <c r="C15" s="73" t="n">
        <v>232094.91</v>
      </c>
      <c r="D15" s="73" t="n">
        <v>212160.14</v>
      </c>
      <c r="E15" s="86" t="n">
        <v>-0.08589059536032044</v>
      </c>
      <c r="F15" s="74" t="n">
        <v>1748</v>
      </c>
      <c r="G15" s="63" t="n">
        <v>121.3730778032037</v>
      </c>
      <c r="H15" s="61" t="n">
        <v>45</v>
      </c>
      <c r="I15" s="28" t="n">
        <v>0.02574370709382151</v>
      </c>
      <c r="J15" s="46" t="n">
        <v>1088</v>
      </c>
      <c r="K15" s="89" t="n">
        <v>0.6224256292906178</v>
      </c>
      <c r="L15" s="73" t="n">
        <v>8888.85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133685.73</v>
      </c>
      <c r="C16" s="73" t="n">
        <v>112202.87</v>
      </c>
      <c r="D16" s="73" t="n">
        <v>122313.92</v>
      </c>
      <c r="E16" s="86" t="n">
        <v>0.09011400510521704</v>
      </c>
      <c r="F16" s="74" t="n">
        <v>809</v>
      </c>
      <c r="G16" s="63" t="n">
        <v>151.1914956736712</v>
      </c>
      <c r="H16" s="61" t="n">
        <v>19</v>
      </c>
      <c r="I16" s="28" t="n">
        <v>0.02348578491965389</v>
      </c>
      <c r="J16" s="46" t="n">
        <v>584</v>
      </c>
      <c r="K16" s="89" t="n">
        <v>0.7218788627935723</v>
      </c>
      <c r="L16" s="73" t="n">
        <v>6177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201945.52</v>
      </c>
      <c r="C17" s="73" t="n">
        <v>187535.11</v>
      </c>
      <c r="D17" s="73" t="n">
        <v>213194.65</v>
      </c>
      <c r="E17" s="86" t="n">
        <v>0.1368252590141655</v>
      </c>
      <c r="F17" s="74" t="n">
        <v>1381</v>
      </c>
      <c r="G17" s="63" t="n">
        <v>154.3770094134685</v>
      </c>
      <c r="H17" s="61" t="n">
        <v>90</v>
      </c>
      <c r="I17" s="28" t="n">
        <v>0.06517016654598118</v>
      </c>
      <c r="J17" s="46" t="n">
        <v>1806</v>
      </c>
      <c r="K17" s="89" t="n">
        <v>1.307748008689356</v>
      </c>
      <c r="L17" s="73" t="n">
        <v>14734.45</v>
      </c>
    </row>
    <row r="18" ht="15.6" customFormat="1" customHeight="1" s="70">
      <c r="A18" s="40" t="inlineStr">
        <is>
          <t>Queenswood</t>
        </is>
      </c>
      <c r="B18" s="102" t="n">
        <v>172115.51</v>
      </c>
      <c r="C18" s="73" t="n">
        <v>0</v>
      </c>
      <c r="D18" s="73" t="n">
        <v>178200.51</v>
      </c>
      <c r="E18" s="86" t="n">
        <v>0</v>
      </c>
      <c r="F18" s="74" t="n">
        <v>1374</v>
      </c>
      <c r="G18" s="63" t="n">
        <v>129.6946943231441</v>
      </c>
      <c r="H18" s="61" t="n">
        <v>28</v>
      </c>
      <c r="I18" s="28" t="n">
        <v>0.02037845705967977</v>
      </c>
      <c r="J18" s="46" t="n">
        <v>725</v>
      </c>
      <c r="K18" s="89" t="n">
        <v>0.5276564774381368</v>
      </c>
      <c r="L18" s="73" t="n">
        <v>3526.9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n"/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278639.64</v>
      </c>
      <c r="C6" s="73" t="n">
        <v>269324.95</v>
      </c>
      <c r="D6" s="73" t="n">
        <v>302080.89</v>
      </c>
      <c r="E6" s="86" t="n">
        <v>0.1216223747558479</v>
      </c>
      <c r="F6" s="74" t="n">
        <v>2388</v>
      </c>
      <c r="G6" s="63" t="n">
        <v>126.4995351758794</v>
      </c>
      <c r="H6" s="61" t="n">
        <v>75</v>
      </c>
      <c r="I6" s="28" t="n">
        <v>0.03140703517587939</v>
      </c>
      <c r="J6" s="46" t="n">
        <v>1219</v>
      </c>
      <c r="K6" s="89" t="n">
        <v>0.5104690117252931</v>
      </c>
      <c r="L6" s="73" t="n">
        <v>13574.6</v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205425.47</v>
      </c>
      <c r="C7" s="73" t="n">
        <v>187990.2</v>
      </c>
      <c r="D7" s="73" t="n">
        <v>255815.43</v>
      </c>
      <c r="E7" s="86" t="n">
        <v>0.3607913072064394</v>
      </c>
      <c r="F7" s="74" t="n">
        <v>1975</v>
      </c>
      <c r="G7" s="63" t="n">
        <v>129.5268</v>
      </c>
      <c r="H7" s="61" t="n">
        <v>52</v>
      </c>
      <c r="I7" s="28" t="n">
        <v>0.02632911392405063</v>
      </c>
      <c r="J7" s="46" t="n">
        <v>1510</v>
      </c>
      <c r="K7" s="89" t="n">
        <v>0.7645569620253164</v>
      </c>
      <c r="L7" s="73" t="n">
        <v>10417</v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125462.37</v>
      </c>
      <c r="C8" s="73" t="n">
        <v>97703.48</v>
      </c>
      <c r="D8" s="73" t="n">
        <v>126931.31</v>
      </c>
      <c r="E8" s="86" t="n">
        <v>0.299148300551833</v>
      </c>
      <c r="F8" s="74" t="n">
        <v>855</v>
      </c>
      <c r="G8" s="63" t="n">
        <v>148.4576725146199</v>
      </c>
      <c r="H8" s="61" t="n">
        <v>15</v>
      </c>
      <c r="I8" s="28" t="n">
        <v>0.01754385964912281</v>
      </c>
      <c r="J8" s="46" t="n">
        <v>490</v>
      </c>
      <c r="K8" s="89" t="n">
        <v>0.5730994152046783</v>
      </c>
      <c r="L8" s="73" t="n">
        <v>3905.5</v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341411.74</v>
      </c>
      <c r="C9" s="73" t="n">
        <v>320185.65</v>
      </c>
      <c r="D9" s="73" t="n">
        <v>342635.31</v>
      </c>
      <c r="E9" s="86" t="n">
        <v>0.07011451012873304</v>
      </c>
      <c r="F9" s="74" t="n">
        <v>2549</v>
      </c>
      <c r="G9" s="63" t="n">
        <v>134.4195017653982</v>
      </c>
      <c r="H9" s="61" t="n">
        <v>39</v>
      </c>
      <c r="I9" s="28" t="n">
        <v>0.01530011769321303</v>
      </c>
      <c r="J9" s="46" t="n">
        <v>1292</v>
      </c>
      <c r="K9" s="89" t="n">
        <v>0.5068654374264417</v>
      </c>
      <c r="L9" s="73" t="n">
        <v>15642.75</v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137627.16</v>
      </c>
      <c r="C10" s="73" t="n">
        <v>170280.71</v>
      </c>
      <c r="D10" s="73" t="n">
        <v>140870.71</v>
      </c>
      <c r="E10" s="86" t="n">
        <v>-0.1727148072145107</v>
      </c>
      <c r="F10" s="74" t="n">
        <v>941</v>
      </c>
      <c r="G10" s="63" t="n">
        <v>149.7031987247609</v>
      </c>
      <c r="H10" s="61" t="n">
        <v>31</v>
      </c>
      <c r="I10" s="28" t="n">
        <v>0.03294367693942614</v>
      </c>
      <c r="J10" s="46" t="n">
        <v>792</v>
      </c>
      <c r="K10" s="89" t="n">
        <v>0.8416578108395324</v>
      </c>
      <c r="L10" s="73" t="n">
        <v>10050.3</v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342630.09</v>
      </c>
      <c r="C11" s="73" t="n">
        <v>327846.33</v>
      </c>
      <c r="D11" s="73" t="n">
        <v>390245.8</v>
      </c>
      <c r="E11" s="86" t="n">
        <v>0.1903314580340124</v>
      </c>
      <c r="F11" s="74" t="n">
        <v>2580</v>
      </c>
      <c r="G11" s="63" t="n">
        <v>151.2580620155039</v>
      </c>
      <c r="H11" s="61" t="n">
        <v>108</v>
      </c>
      <c r="I11" s="28" t="n">
        <v>0.04186046511627907</v>
      </c>
      <c r="J11" s="46" t="n">
        <v>2220</v>
      </c>
      <c r="K11" s="89" t="n">
        <v>0.8604651162790697</v>
      </c>
      <c r="L11" s="73" t="n">
        <v>19465.35</v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163242.43</v>
      </c>
      <c r="C12" s="73" t="n">
        <v>106938.02</v>
      </c>
      <c r="D12" s="73" t="n">
        <v>136510.8</v>
      </c>
      <c r="E12" s="86" t="n">
        <v>0.2765413086945128</v>
      </c>
      <c r="F12" s="74" t="n">
        <v>1959</v>
      </c>
      <c r="G12" s="63" t="n">
        <v>69.68392036753445</v>
      </c>
      <c r="H12" s="61" t="n">
        <v>20</v>
      </c>
      <c r="I12" s="28" t="n">
        <v>0.01020929045431342</v>
      </c>
      <c r="J12" s="46" t="n">
        <v>819</v>
      </c>
      <c r="K12" s="89" t="n">
        <v>0.4180704441041347</v>
      </c>
      <c r="L12" s="73" t="n">
        <v>11224.5</v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206365.41</v>
      </c>
      <c r="C13" s="73" t="n">
        <v>221834.6</v>
      </c>
      <c r="D13" s="73" t="n">
        <v>233608.46</v>
      </c>
      <c r="E13" s="86" t="n">
        <v>0.05307494863290031</v>
      </c>
      <c r="F13" s="74" t="n">
        <v>1745</v>
      </c>
      <c r="G13" s="63" t="n">
        <v>133.8730429799427</v>
      </c>
      <c r="H13" s="61" t="n">
        <v>69</v>
      </c>
      <c r="I13" s="28" t="n">
        <v>0.03954154727793696</v>
      </c>
      <c r="J13" s="46" t="n">
        <v>1544</v>
      </c>
      <c r="K13" s="89" t="n">
        <v>0.8848137535816619</v>
      </c>
      <c r="L13" s="73" t="n">
        <v>11604.63</v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95538.25999999999</v>
      </c>
      <c r="C14" s="73" t="n">
        <v>86372.31</v>
      </c>
      <c r="D14" s="73" t="n">
        <v>86615.64999999999</v>
      </c>
      <c r="E14" s="86" t="n">
        <v>0.002817338102917434</v>
      </c>
      <c r="F14" s="74" t="n">
        <v>484</v>
      </c>
      <c r="G14" s="63" t="n">
        <v>178.9579545454545</v>
      </c>
      <c r="H14" s="61" t="n">
        <v>0</v>
      </c>
      <c r="I14" s="28" t="n">
        <v>0</v>
      </c>
      <c r="J14" s="46" t="n">
        <v>0</v>
      </c>
      <c r="K14" s="89" t="n">
        <v>0</v>
      </c>
      <c r="L14" s="73" t="n">
        <v>5856.8</v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212160.14</v>
      </c>
      <c r="C15" s="73" t="n">
        <v>167993.44</v>
      </c>
      <c r="D15" s="73" t="n">
        <v>157667.46</v>
      </c>
      <c r="E15" s="86" t="n">
        <v>-0.0614665667897509</v>
      </c>
      <c r="F15" s="74" t="n">
        <v>1314</v>
      </c>
      <c r="G15" s="63" t="n">
        <v>119.9904566210046</v>
      </c>
      <c r="H15" s="61" t="n">
        <v>49</v>
      </c>
      <c r="I15" s="28" t="n">
        <v>0.03729071537290715</v>
      </c>
      <c r="J15" s="46" t="n">
        <v>1137</v>
      </c>
      <c r="K15" s="89" t="n">
        <v>0.865296803652968</v>
      </c>
      <c r="L15" s="73" t="n">
        <v>6520.35</v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122313.92</v>
      </c>
      <c r="C16" s="73" t="n">
        <v>125951.95</v>
      </c>
      <c r="D16" s="73" t="n">
        <v>127075.46</v>
      </c>
      <c r="E16" s="86" t="n">
        <v>0.008920147723000789</v>
      </c>
      <c r="F16" s="74" t="n">
        <v>879</v>
      </c>
      <c r="G16" s="63" t="n">
        <v>144.5682138794084</v>
      </c>
      <c r="H16" s="61" t="n">
        <v>26</v>
      </c>
      <c r="I16" s="28" t="n">
        <v>0.02957906712172924</v>
      </c>
      <c r="J16" s="46" t="n">
        <v>610</v>
      </c>
      <c r="K16" s="89" t="n">
        <v>0.6939704209328783</v>
      </c>
      <c r="L16" s="73" t="n">
        <v>8018</v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213194.65</v>
      </c>
      <c r="C17" s="73" t="n">
        <v>196283.5</v>
      </c>
      <c r="D17" s="73" t="n">
        <v>217907.37</v>
      </c>
      <c r="E17" s="86" t="n">
        <v>0.1101665193457422</v>
      </c>
      <c r="F17" s="74" t="n">
        <v>1404</v>
      </c>
      <c r="G17" s="63" t="n">
        <v>155.2046794871795</v>
      </c>
      <c r="H17" s="61" t="n">
        <v>69</v>
      </c>
      <c r="I17" s="28" t="n">
        <v>0.04914529914529914</v>
      </c>
      <c r="J17" s="46" t="n">
        <v>1875</v>
      </c>
      <c r="K17" s="89" t="n">
        <v>1.335470085470085</v>
      </c>
      <c r="L17" s="73" t="n">
        <v>13307.15</v>
      </c>
    </row>
    <row r="18" ht="15.6" customFormat="1" customHeight="1" s="70">
      <c r="A18" s="40" t="inlineStr">
        <is>
          <t>Queenswood</t>
        </is>
      </c>
      <c r="B18" s="102" t="n">
        <v>178200.51</v>
      </c>
      <c r="C18" s="73" t="n">
        <v>0</v>
      </c>
      <c r="D18" s="73" t="n">
        <v>195997.67</v>
      </c>
      <c r="E18" s="86" t="n">
        <v>0</v>
      </c>
      <c r="F18" s="74" t="n">
        <v>1557</v>
      </c>
      <c r="G18" s="63" t="n">
        <v>125.8816120745023</v>
      </c>
      <c r="H18" s="61" t="n">
        <v>63</v>
      </c>
      <c r="I18" s="28" t="n">
        <v>0.04046242774566474</v>
      </c>
      <c r="J18" s="46" t="n">
        <v>788</v>
      </c>
      <c r="K18" s="89" t="n">
        <v>0.5061014771997431</v>
      </c>
      <c r="L18" s="73" t="n">
        <v>5261.5</v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O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baseColWidth="8" defaultColWidth="9.33203125" defaultRowHeight="14.4" outlineLevelRow="1"/>
  <cols>
    <col width="28.5546875" bestFit="1" customWidth="1" style="69" min="1" max="1"/>
    <col width="16.6640625" customWidth="1" style="69" min="2" max="2"/>
    <col width="15.6640625" customWidth="1" style="69" min="3" max="4"/>
    <col width="12.6640625" customWidth="1" style="69" min="5" max="5"/>
    <col width="14.6640625" bestFit="1" customWidth="1" style="69" min="6" max="6"/>
    <col width="13.44140625" customWidth="1" style="69" min="7" max="7"/>
    <col width="9.6640625" customWidth="1" style="69" min="8" max="9"/>
    <col width="11" bestFit="1" customWidth="1" style="69" min="10" max="10"/>
    <col hidden="1" width="15.44140625" customWidth="1" style="69" min="11" max="11"/>
    <col width="15.6640625" customWidth="1" style="69" min="12" max="12"/>
    <col width="17" customWidth="1" style="70" min="13" max="13"/>
    <col width="9.33203125" customWidth="1" style="70" min="14" max="17"/>
    <col width="9.33203125" customWidth="1" style="69" min="18" max="60"/>
    <col width="9.33203125" customWidth="1" style="69" min="61" max="1638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  <c r="N1" s="9" t="n"/>
      <c r="O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  <c r="N2" s="9" t="n"/>
      <c r="O2" s="9" t="n"/>
    </row>
    <row r="3" ht="31.8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  <c r="N3" s="21" t="n"/>
      <c r="O3" s="22" t="n"/>
    </row>
    <row r="4" ht="20.25" customHeight="1" thickBot="1">
      <c r="A4" s="398" t="inlineStr">
        <is>
          <t>GROUP TOTAL</t>
        </is>
      </c>
      <c r="B4" s="99">
        <f>SUM(B6:B18)</f>
        <v/>
      </c>
      <c r="C4" s="99">
        <f>SUM(C6:C18)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  <c r="N4" s="9" t="n"/>
      <c r="O4" s="9" t="n"/>
    </row>
    <row r="5" hidden="1" outlineLevel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  <c r="N5" s="9" t="n"/>
      <c r="O5" s="9" t="n"/>
    </row>
    <row r="6" collapsed="1" ht="15.6" customHeight="1">
      <c r="A6" s="39" t="inlineStr">
        <is>
          <t>Irene Village</t>
        </is>
      </c>
      <c r="B6" s="102" t="n">
        <v>302080.89</v>
      </c>
      <c r="C6" s="73">
        <f>IFERROR(VLOOKUP(A6,'May 7 - May 13'!A:F,6,FALSE),0)</f>
        <v/>
      </c>
      <c r="D6" s="73">
        <f>IFERROR(VLOOKUP(A6,Data!A:E,4,FALSE),0)</f>
        <v/>
      </c>
      <c r="E6" s="86">
        <f>IFERROR((SUM(D6-C6)/C6),0)</f>
        <v/>
      </c>
      <c r="F6" s="74">
        <f>IFERROR(VLOOKUP(A6,Data!A:E,5,FALSE),0)</f>
        <v/>
      </c>
      <c r="G6" s="63">
        <f>IFERROR(D6/F6,0)</f>
        <v/>
      </c>
      <c r="H6" s="61">
        <f>VLOOKUP(A6,Promo!A:T,20,FALSE)</f>
        <v/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/>
      </c>
      <c r="K6" s="89">
        <f>IFERROR(J6/SUM(F6),0)</f>
        <v/>
      </c>
      <c r="L6" s="73">
        <f>IFERROR(VLOOKUP(A6,Data!A:E,3,FALSE),0)</f>
        <v/>
      </c>
      <c r="M6" s="26" t="n"/>
      <c r="N6" s="9" t="n"/>
      <c r="O6" s="9" t="n"/>
    </row>
    <row r="7" ht="15.6" customHeight="1">
      <c r="A7" s="39" t="inlineStr">
        <is>
          <t>Melrose Arch</t>
        </is>
      </c>
      <c r="B7" s="102" t="n">
        <v>255815.43</v>
      </c>
      <c r="C7" s="73">
        <f>IFERROR(VLOOKUP(A7,'May 7 - May 13'!A:F,6,FALSE),0)</f>
        <v/>
      </c>
      <c r="D7" s="73">
        <f>IFERROR(VLOOKUP(A7,Data!A:E,4,FALSE),0)</f>
        <v/>
      </c>
      <c r="E7" s="86">
        <f>IFERROR((SUM(D7-C7)/C7),0)</f>
        <v/>
      </c>
      <c r="F7" s="74">
        <f>IFERROR(VLOOKUP(A7,Data!A:E,5,FALSE),0)</f>
        <v/>
      </c>
      <c r="G7" s="63">
        <f>IFERROR(D7/F7,0)</f>
        <v/>
      </c>
      <c r="H7" s="61">
        <f>VLOOKUP(A7,Promo!A:T,20,FALSE)</f>
        <v/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/>
      </c>
      <c r="K7" s="89">
        <f>IFERROR(J7/SUM(F7),0)</f>
        <v/>
      </c>
      <c r="L7" s="73">
        <f>IFERROR(VLOOKUP(A7,Data!A:E,3,FALSE),0)</f>
        <v/>
      </c>
      <c r="M7" s="26" t="n"/>
      <c r="N7" s="9" t="n"/>
      <c r="O7" s="9" t="n"/>
    </row>
    <row r="8" ht="15.6" customHeight="1">
      <c r="A8" s="39" t="inlineStr">
        <is>
          <t>Melville</t>
        </is>
      </c>
      <c r="B8" s="102" t="n">
        <v>126931.31</v>
      </c>
      <c r="C8" s="73">
        <f>IFERROR(VLOOKUP(A8,'May 7 - May 13'!A:F,6,FALSE),0)</f>
        <v/>
      </c>
      <c r="D8" s="73">
        <f>IFERROR(VLOOKUP(A8,Data!A:E,4,FALSE),0)</f>
        <v/>
      </c>
      <c r="E8" s="86">
        <f>IFERROR((SUM(D8-C8)/C8),0)</f>
        <v/>
      </c>
      <c r="F8" s="74">
        <f>IFERROR(VLOOKUP(A8,Data!A:E,5,FALSE),0)</f>
        <v/>
      </c>
      <c r="G8" s="63">
        <f>IFERROR(D8/F8,0)</f>
        <v/>
      </c>
      <c r="H8" s="61">
        <f>VLOOKUP(A8,Promo!A:T,20,FALSE)</f>
        <v/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/>
      </c>
      <c r="K8" s="89">
        <f>IFERROR(J8/SUM(F8),0)</f>
        <v/>
      </c>
      <c r="L8" s="73">
        <f>IFERROR(VLOOKUP(A8,Data!A:E,3,FALSE),0)</f>
        <v/>
      </c>
      <c r="M8" s="26" t="n"/>
      <c r="N8" s="9" t="n"/>
      <c r="O8" s="9" t="n"/>
    </row>
    <row r="9" ht="15.6" customHeight="1">
      <c r="A9" s="39" t="inlineStr">
        <is>
          <t>Rosebank</t>
        </is>
      </c>
      <c r="B9" s="102" t="n">
        <v>342635.31</v>
      </c>
      <c r="C9" s="73">
        <f>IFERROR(VLOOKUP(A9,'May 7 - May 13'!A:F,6,FALSE),0)</f>
        <v/>
      </c>
      <c r="D9" s="73">
        <f>IFERROR(VLOOKUP(A9,Data!A:E,4,FALSE),0)</f>
        <v/>
      </c>
      <c r="E9" s="86">
        <f>IFERROR((SUM(D9-C9)/C9),0)</f>
        <v/>
      </c>
      <c r="F9" s="74">
        <f>IFERROR(VLOOKUP(A9,Data!A:E,5,FALSE),0)</f>
        <v/>
      </c>
      <c r="G9" s="63">
        <f>IFERROR(D9/F9,0)</f>
        <v/>
      </c>
      <c r="H9" s="61">
        <f>VLOOKUP(A9,Promo!A:T,20,FALSE)</f>
        <v/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/>
      </c>
      <c r="K9" s="89">
        <f>IFERROR(J9/SUM(F9),0)</f>
        <v/>
      </c>
      <c r="L9" s="73">
        <f>IFERROR(VLOOKUP(A9,Data!A:E,3,FALSE),0)</f>
        <v/>
      </c>
      <c r="M9" s="26" t="n"/>
      <c r="N9" s="9" t="n"/>
      <c r="O9" s="9" t="n"/>
    </row>
    <row r="10" ht="15.6" customFormat="1" customHeight="1" s="70">
      <c r="A10" s="39" t="inlineStr">
        <is>
          <t xml:space="preserve">Waterkloof </t>
        </is>
      </c>
      <c r="B10" s="102" t="n">
        <v>140870.71</v>
      </c>
      <c r="C10" s="73">
        <f>IFERROR(VLOOKUP(A10,'May 7 - May 13'!A:F,6,FALSE),0)</f>
        <v/>
      </c>
      <c r="D10" s="73">
        <f>IFERROR(VLOOKUP(A10,Data!A:E,4,FALSE),0)</f>
        <v/>
      </c>
      <c r="E10" s="86">
        <f>IFERROR((SUM(D10-C10)/C10),0)</f>
        <v/>
      </c>
      <c r="F10" s="74">
        <f>IFERROR(VLOOKUP(A10,Data!A:E,5,FALSE),0)</f>
        <v/>
      </c>
      <c r="G10" s="63">
        <f>IFERROR(D10/F10,0)</f>
        <v/>
      </c>
      <c r="H10" s="61">
        <f>VLOOKUP(A10,Promo!A:T,20,FALSE)</f>
        <v/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/>
      </c>
      <c r="K10" s="89">
        <f>IFERROR(J10/SUM(F10),0)</f>
        <v/>
      </c>
      <c r="L10" s="73">
        <f>IFERROR(VLOOKUP(A10,Data!A:E,3,FALSE),0)</f>
        <v/>
      </c>
      <c r="M10" s="26" t="n"/>
      <c r="N10" s="9" t="n"/>
      <c r="O10" s="9" t="n"/>
    </row>
    <row r="11" ht="15.6" customFormat="1" customHeight="1" s="70">
      <c r="A11" s="39" t="inlineStr">
        <is>
          <t>Eagles Landing</t>
        </is>
      </c>
      <c r="B11" s="102" t="n">
        <v>390245.8</v>
      </c>
      <c r="C11" s="73">
        <f>IFERROR(VLOOKUP(A11,'May 7 - May 13'!A:F,6,FALSE),0)</f>
        <v/>
      </c>
      <c r="D11" s="73">
        <f>IFERROR(VLOOKUP(A11,Data!A:E,4,FALSE),0)</f>
        <v/>
      </c>
      <c r="E11" s="86">
        <f>IFERROR((SUM(D11-C11)/C11),0)</f>
        <v/>
      </c>
      <c r="F11" s="74">
        <f>IFERROR(VLOOKUP(A11,Data!A:E,5,FALSE),0)</f>
        <v/>
      </c>
      <c r="G11" s="63">
        <f>IFERROR(D11/F11,0)</f>
        <v/>
      </c>
      <c r="H11" s="61">
        <f>VLOOKUP(A11,Promo!A:T,20,FALSE)</f>
        <v/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/>
      </c>
      <c r="K11" s="89">
        <f>IFERROR(J11/SUM(F11),0)</f>
        <v/>
      </c>
      <c r="L11" s="73">
        <f>IFERROR(VLOOKUP(A11,Data!A:E,3,FALSE),0)</f>
        <v/>
      </c>
      <c r="M11" s="26" t="n"/>
      <c r="N11" s="9" t="n"/>
      <c r="O11" s="9" t="n"/>
    </row>
    <row r="12" ht="15.6" customFormat="1" customHeight="1" s="70">
      <c r="A12" s="40" t="inlineStr">
        <is>
          <t>Stellenbosch</t>
        </is>
      </c>
      <c r="B12" s="102" t="n">
        <v>136510.8</v>
      </c>
      <c r="C12" s="73">
        <f>IFERROR(VLOOKUP(A12,'May 7 - May 13'!A:F,6,FALSE),0)</f>
        <v/>
      </c>
      <c r="D12" s="73">
        <f>IFERROR(VLOOKUP(A12,Data!A:E,4,FALSE),0)</f>
        <v/>
      </c>
      <c r="E12" s="86">
        <f>IFERROR((SUM(D12-C12)/C12),0)</f>
        <v/>
      </c>
      <c r="F12" s="74">
        <f>IFERROR(VLOOKUP(A12,Data!A:E,5,FALSE),0)</f>
        <v/>
      </c>
      <c r="G12" s="63">
        <f>IFERROR(D12/F12,0)</f>
        <v/>
      </c>
      <c r="H12" s="61">
        <f>VLOOKUP(A12,Promo!A:T,20,FALSE)</f>
        <v/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/>
      </c>
      <c r="K12" s="89">
        <f>IFERROR(J12/SUM(F12),0)</f>
        <v/>
      </c>
      <c r="L12" s="73">
        <f>IFERROR(VLOOKUP(A12,Data!A:E,3,FALSE),0)</f>
        <v/>
      </c>
      <c r="M12" s="26" t="n"/>
      <c r="N12" s="9" t="n"/>
      <c r="O12" s="9" t="n"/>
    </row>
    <row r="13" ht="15.6" customFormat="1" customHeight="1" s="70">
      <c r="A13" s="40" t="inlineStr">
        <is>
          <t>Lynnwood</t>
        </is>
      </c>
      <c r="B13" s="102" t="n">
        <v>233608.46</v>
      </c>
      <c r="C13" s="73">
        <f>IFERROR(VLOOKUP(A13,'May 7 - May 13'!A:F,6,FALSE),0)</f>
        <v/>
      </c>
      <c r="D13" s="73">
        <f>IFERROR(VLOOKUP(A13,Data!A:E,4,FALSE),0)</f>
        <v/>
      </c>
      <c r="E13" s="86">
        <f>IFERROR((SUM(D13-C13)/C13),0)</f>
        <v/>
      </c>
      <c r="F13" s="74">
        <f>IFERROR(VLOOKUP(A13,Data!A:E,5,FALSE),0)</f>
        <v/>
      </c>
      <c r="G13" s="63">
        <f>IFERROR(D13/F13,0)</f>
        <v/>
      </c>
      <c r="H13" s="61">
        <f>VLOOKUP(A13,Promo!A:T,20,FALSE)</f>
        <v/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/>
      </c>
      <c r="K13" s="89">
        <f>IFERROR(J13/SUM(F13),0)</f>
        <v/>
      </c>
      <c r="L13" s="73">
        <f>IFERROR(VLOOKUP(A13,Data!A:E,3,FALSE),0)</f>
        <v/>
      </c>
      <c r="M13" s="26" t="n"/>
      <c r="N13" s="9" t="n"/>
      <c r="O13" s="9" t="n"/>
    </row>
    <row r="14" ht="15.6" customFormat="1" customHeight="1" s="70">
      <c r="A14" s="40" t="inlineStr">
        <is>
          <t>Wellington</t>
        </is>
      </c>
      <c r="B14" s="102" t="n">
        <v>86615.64999999999</v>
      </c>
      <c r="C14" s="73">
        <f>IFERROR(VLOOKUP(A14,'May 7 - May 13'!A:F,6,FALSE),0)</f>
        <v/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/>
      </c>
      <c r="K14" s="89">
        <f>IFERROR(J14/SUM(F14),0)</f>
        <v/>
      </c>
      <c r="L14" s="73">
        <f>IFERROR(VLOOKUP(A14,Data!A:E,3,FALSE),0)</f>
        <v/>
      </c>
      <c r="M14" s="26" t="n"/>
      <c r="N14" s="9" t="n"/>
      <c r="O14" s="9" t="n"/>
    </row>
    <row r="15" ht="15.6" customFormat="1" customHeight="1" s="70">
      <c r="A15" s="40" t="inlineStr">
        <is>
          <t>Hartenbos</t>
        </is>
      </c>
      <c r="B15" s="102" t="n">
        <v>157667.46</v>
      </c>
      <c r="C15" s="73">
        <f>IFERROR(VLOOKUP(A15,'May 7 - May 13'!A:F,6,FALSE),0)</f>
        <v/>
      </c>
      <c r="D15" s="73">
        <f>IFERROR(VLOOKUP(A15,Data!A:E,4,FALSE),0)</f>
        <v/>
      </c>
      <c r="E15" s="86">
        <f>IFERROR((SUM(D15-C15)/C15),0)</f>
        <v/>
      </c>
      <c r="F15" s="74">
        <f>IFERROR(VLOOKUP(A15,Data!A:E,5,FALSE),0)</f>
        <v/>
      </c>
      <c r="G15" s="63">
        <f>IFERROR(D15/F15,0)</f>
        <v/>
      </c>
      <c r="H15" s="61">
        <f>VLOOKUP(A15,Promo!A:T,20,FALSE)</f>
        <v/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/>
      </c>
      <c r="K15" s="89">
        <f>IFERROR(J15/SUM(F15),0)</f>
        <v/>
      </c>
      <c r="L15" s="73">
        <f>IFERROR(VLOOKUP(A15,Data!A:E,3,FALSE),0)</f>
        <v/>
      </c>
      <c r="M15" s="9" t="n"/>
      <c r="N15" s="9" t="n"/>
      <c r="O15" s="9" t="n"/>
    </row>
    <row r="16" ht="15.6" customFormat="1" customHeight="1" s="70">
      <c r="A16" s="40" t="inlineStr">
        <is>
          <t>Kyalami Corner</t>
        </is>
      </c>
      <c r="B16" s="102" t="n">
        <v>127075.46</v>
      </c>
      <c r="C16" s="73">
        <f>IFERROR(VLOOKUP(A16,'May 7 - May 13'!A:F,6,FALSE),0)</f>
        <v/>
      </c>
      <c r="D16" s="73">
        <f>IFERROR(VLOOKUP(A16,Data!A:E,4,FALSE),0)</f>
        <v/>
      </c>
      <c r="E16" s="86">
        <f>IFERROR((SUM(D16-C16)/C16),0)</f>
        <v/>
      </c>
      <c r="F16" s="74">
        <f>IFERROR(VLOOKUP(A16,Data!A:E,5,FALSE),0)</f>
        <v/>
      </c>
      <c r="G16" s="63">
        <f>IFERROR(D16/F16,0)</f>
        <v/>
      </c>
      <c r="H16" s="61">
        <f>VLOOKUP(A16,Promo!A:T,20,FALSE)</f>
        <v/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/>
      </c>
      <c r="K16" s="89">
        <f>IFERROR(J16/SUM(F16),0)</f>
        <v/>
      </c>
      <c r="L16" s="73">
        <f>IFERROR(VLOOKUP(A16,Data!A:E,3,FALSE),0)</f>
        <v/>
      </c>
      <c r="M16" s="9" t="n"/>
      <c r="N16" s="9" t="n"/>
      <c r="O16" s="9" t="n"/>
    </row>
    <row r="17" ht="15.6" customFormat="1" customHeight="1" s="70">
      <c r="A17" s="40" t="inlineStr">
        <is>
          <t>Paulshof</t>
        </is>
      </c>
      <c r="B17" s="102" t="n">
        <v>217907.37</v>
      </c>
      <c r="C17" s="73">
        <f>IFERROR(VLOOKUP(A17,'May 7 - May 13'!A:F,6,FALSE),0)</f>
        <v/>
      </c>
      <c r="D17" s="73">
        <f>IFERROR(VLOOKUP(A17,Data!A:E,4,FALSE),0)</f>
        <v/>
      </c>
      <c r="E17" s="86">
        <f>IFERROR((SUM(D17-C17)/C17),0)</f>
        <v/>
      </c>
      <c r="F17" s="74">
        <f>IFERROR(VLOOKUP(A17,Data!A:E,5,FALSE),0)</f>
        <v/>
      </c>
      <c r="G17" s="63">
        <f>IFERROR(D17/F17,0)</f>
        <v/>
      </c>
      <c r="H17" s="61">
        <f>VLOOKUP(A17,Promo!A:T,20,FALSE)</f>
        <v/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/>
      </c>
      <c r="K17" s="89">
        <f>IFERROR(J17/SUM(F17),0)</f>
        <v/>
      </c>
      <c r="L17" s="73">
        <f>IFERROR(VLOOKUP(A17,Data!A:E,3,FALSE),0)</f>
        <v/>
      </c>
    </row>
    <row r="18" ht="15.6" customFormat="1" customHeight="1" s="70">
      <c r="A18" s="40" t="inlineStr">
        <is>
          <t>Queenswood</t>
        </is>
      </c>
      <c r="B18" s="102" t="n">
        <v>195997.67</v>
      </c>
      <c r="C18" s="73">
        <f>IFERROR(VLOOKUP(A18,'May 7 - May 13'!A:F,6,FALSE),0)</f>
        <v/>
      </c>
      <c r="D18" s="73">
        <f>IFERROR(VLOOKUP(A18,Data!A:E,4,FALSE),0)</f>
        <v/>
      </c>
      <c r="E18" s="86">
        <f>IFERROR((SUM(D18-C18)/C18),0)</f>
        <v/>
      </c>
      <c r="F18" s="74">
        <f>IFERROR(VLOOKUP(A18,Data!A:E,5,FALSE),0)</f>
        <v/>
      </c>
      <c r="G18" s="63">
        <f>IFERROR(D18/F18,0)</f>
        <v/>
      </c>
      <c r="H18" s="61">
        <f>VLOOKUP(A18,Promo!A:T,20,FALSE)</f>
        <v/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/>
      </c>
      <c r="K18" s="89">
        <f>IFERROR(J18/SUM(F18),0)</f>
        <v/>
      </c>
      <c r="L18" s="73">
        <f>IFERROR(VLOOKUP(A18,Data!A:E,3,FALSE),0)</f>
        <v/>
      </c>
    </row>
    <row r="19" customFormat="1" s="70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</row>
    <row r="20" customFormat="1" s="7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</row>
    <row r="21" customFormat="1" s="70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</row>
    <row r="22" ht="15" customFormat="1" customHeight="1" s="70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</row>
    <row r="23" customFormat="1" s="70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</row>
    <row r="24" customFormat="1" s="70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</row>
    <row r="25" customFormat="1" s="70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</row>
    <row r="26" customFormat="1" s="70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</row>
    <row r="27" customFormat="1" s="70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</row>
  </sheetData>
  <conditionalFormatting sqref="C6:L18">
    <cfRule type="cellIs" priority="1" operator="equal" dxfId="0">
      <formula>0</formula>
    </cfRule>
  </conditionalFormatting>
  <pageMargins left="0.7086614173228347" right="0.7086614173228347" top="0.7480314960629921" bottom="0.7480314960629921" header="0.3149606299212598" footer="0.3149606299212598"/>
  <pageSetup orientation="landscape" paperSize="9" scale="80"/>
  <drawing r:id="rId1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0" zoomScaleNormal="70" workbookViewId="0">
      <selection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1" bestFit="1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31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2" t="n"/>
      <c r="B3" s="101" t="inlineStr">
        <is>
          <t>Last Week (Net)</t>
        </is>
      </c>
      <c r="C3" s="15" t="inlineStr">
        <is>
          <t>LAST YEAR (Net)</t>
        </is>
      </c>
      <c r="D3" s="11" t="inlineStr">
        <is>
          <t>T/over Net</t>
        </is>
      </c>
      <c r="E3" s="13" t="inlineStr">
        <is>
          <t>% to LY</t>
        </is>
      </c>
      <c r="F3" s="35" t="inlineStr">
        <is>
          <t>Covers</t>
        </is>
      </c>
      <c r="G3" s="11" t="inlineStr">
        <is>
          <t>Avg Spend</t>
        </is>
      </c>
      <c r="H3" s="15" t="inlineStr">
        <is>
          <t>PROMO Weekly</t>
        </is>
      </c>
      <c r="I3" s="15" t="inlineStr">
        <is>
          <t>% To Covers</t>
        </is>
      </c>
      <c r="J3" s="15" t="inlineStr">
        <is>
          <t>Promo to Date</t>
        </is>
      </c>
      <c r="K3" s="15" t="inlineStr">
        <is>
          <t>% To Date</t>
        </is>
      </c>
      <c r="L3" s="41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99">
        <f>SUM(B6:B18)</f>
        <v/>
      </c>
      <c r="C4" s="99">
        <f>SUM(C6:C18)-C14</f>
        <v/>
      </c>
      <c r="D4" s="97">
        <f>SUM(D6:D18)</f>
        <v/>
      </c>
      <c r="E4" s="90">
        <f>IFERROR((SUM(D4-C4)/C4),0)</f>
        <v/>
      </c>
      <c r="F4" s="66">
        <f>SUM(F6:F18)</f>
        <v/>
      </c>
      <c r="G4" s="85">
        <f>AVERAGE(G5:G18)</f>
        <v/>
      </c>
      <c r="H4" s="88">
        <f>SUM(H6:H18)</f>
        <v/>
      </c>
      <c r="I4" s="28">
        <f>IFERROR(H4/F4,0)</f>
        <v/>
      </c>
      <c r="J4" s="46">
        <f>SUM(J6:J18)</f>
        <v/>
      </c>
      <c r="K4" s="89">
        <f>IFERROR(J4/SUM(F4),0)</f>
        <v/>
      </c>
      <c r="L4" s="66">
        <f>SUM(L6:L18)</f>
        <v/>
      </c>
      <c r="M4" s="24" t="n"/>
    </row>
    <row r="5" hidden="1" ht="15.6" customHeight="1">
      <c r="A5" s="38" t="inlineStr">
        <is>
          <t>Midrand</t>
        </is>
      </c>
      <c r="B5" s="38" t="n"/>
      <c r="C5" s="67" t="n"/>
      <c r="D5" s="67" t="n"/>
      <c r="E5" s="86">
        <f>IFERROR((SUM(D5-C5)/C5),0)</f>
        <v/>
      </c>
      <c r="F5" s="68" t="n"/>
      <c r="G5" s="84" t="n"/>
      <c r="H5" s="68" t="n"/>
      <c r="I5" s="28">
        <f>IFERROR(H5/F5,0)</f>
        <v/>
      </c>
      <c r="J5" s="46">
        <f>H5+'Nov 19 - Nov 25'!I5+'Nov 26 - Dec 2'!I5+'Dec 3 - Dec 9'!I5+'Dec 10 - Dec 16'!I5+'Dec 17 - Dec 23'!I5+'Dec 24 - Dec 30'!I5</f>
        <v/>
      </c>
      <c r="K5" s="89">
        <f>IFERROR(J5/SUM(F5),0)</f>
        <v/>
      </c>
      <c r="L5" s="73" t="n"/>
      <c r="M5" s="25" t="n"/>
    </row>
    <row r="6" ht="15.6" customHeight="1">
      <c r="A6" s="39" t="inlineStr">
        <is>
          <t>Irene Village</t>
        </is>
      </c>
      <c r="B6" s="112">
        <f>'6 May - 12 May'!D6</f>
        <v/>
      </c>
      <c r="C6" s="73" t="n">
        <v>185743.3</v>
      </c>
      <c r="D6" s="73" t="n">
        <v>217085.03</v>
      </c>
      <c r="E6" s="86">
        <f>IFERROR((SUM(D6-C6)/C6),0)</f>
        <v/>
      </c>
      <c r="F6" s="74" t="n">
        <v>1669</v>
      </c>
      <c r="G6" s="63">
        <f>IFERROR(D6/F6,0)</f>
        <v/>
      </c>
      <c r="H6" s="61" t="n">
        <v>53</v>
      </c>
      <c r="I6" s="28">
        <f>IFERROR(H6/F6,0)</f>
        <v/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/>
      </c>
      <c r="K6" s="89">
        <f>IFERROR(J6/SUM(F6),0)</f>
        <v/>
      </c>
      <c r="L6" s="73" t="n">
        <v>17653.4</v>
      </c>
      <c r="M6" s="26" t="n"/>
    </row>
    <row r="7" ht="15.6" customHeight="1">
      <c r="A7" s="39" t="inlineStr">
        <is>
          <t>Melrose Arch</t>
        </is>
      </c>
      <c r="B7" s="112">
        <f>'6 May - 12 May'!D7</f>
        <v/>
      </c>
      <c r="C7" s="73" t="n">
        <v>170395.84</v>
      </c>
      <c r="D7" s="73" t="n">
        <v>208131.03</v>
      </c>
      <c r="E7" s="86">
        <f>IFERROR((SUM(D7-C7)/C7),0)</f>
        <v/>
      </c>
      <c r="F7" s="74" t="n">
        <v>1634</v>
      </c>
      <c r="G7" s="63">
        <f>IFERROR(D7/F7,0)</f>
        <v/>
      </c>
      <c r="H7" s="61" t="n">
        <v>79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/>
      </c>
      <c r="K7" s="89">
        <f>IFERROR(J7/SUM(F7),0)</f>
        <v/>
      </c>
      <c r="L7" s="73" t="n">
        <v>10416.5</v>
      </c>
      <c r="M7" s="26" t="n"/>
    </row>
    <row r="8" ht="15.6" customHeight="1">
      <c r="A8" s="39" t="inlineStr">
        <is>
          <t>Melville</t>
        </is>
      </c>
      <c r="B8" s="112">
        <f>'6 May - 12 May'!D8</f>
        <v/>
      </c>
      <c r="C8" s="73" t="n">
        <v>79754.94</v>
      </c>
      <c r="D8" s="73" t="n">
        <v>98960.8</v>
      </c>
      <c r="E8" s="86">
        <f>IFERROR((SUM(D8-C8)/C8),0)</f>
        <v/>
      </c>
      <c r="F8" s="74" t="n">
        <v>747</v>
      </c>
      <c r="G8" s="63">
        <f>IFERROR(D8/F8,0)</f>
        <v/>
      </c>
      <c r="H8" s="61" t="n">
        <v>12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/>
      </c>
      <c r="K8" s="89">
        <f>IFERROR(J8/SUM(F8),0)</f>
        <v/>
      </c>
      <c r="L8" s="73" t="n">
        <v>5697</v>
      </c>
      <c r="M8" s="26" t="n"/>
    </row>
    <row r="9" ht="15.6" customHeight="1">
      <c r="A9" s="39" t="inlineStr">
        <is>
          <t>Rosebank</t>
        </is>
      </c>
      <c r="B9" s="112">
        <f>'6 May - 12 May'!D9</f>
        <v/>
      </c>
      <c r="C9" s="73" t="n">
        <v>259836.52</v>
      </c>
      <c r="D9" s="73" t="n">
        <v>271779.22</v>
      </c>
      <c r="E9" s="86">
        <f>IFERROR((SUM(D9-C9)/C9),0)</f>
        <v/>
      </c>
      <c r="F9" s="74" t="n">
        <v>2048</v>
      </c>
      <c r="G9" s="63">
        <f>IFERROR(D9/F9,0)</f>
        <v/>
      </c>
      <c r="H9" s="61" t="n">
        <v>61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/>
      </c>
      <c r="K9" s="89">
        <f>IFERROR(J9/SUM(F9),0)</f>
        <v/>
      </c>
      <c r="L9" s="73" t="n">
        <v>14410.5</v>
      </c>
      <c r="M9" s="26" t="n"/>
    </row>
    <row r="10" ht="15.6" customHeight="1">
      <c r="A10" s="39" t="inlineStr">
        <is>
          <t xml:space="preserve">Waterkloof </t>
        </is>
      </c>
      <c r="B10" s="112">
        <f>'6 May - 12 May'!D10</f>
        <v/>
      </c>
      <c r="C10" s="73" t="n">
        <v>129346.78</v>
      </c>
      <c r="D10" s="73" t="n">
        <v>130430.4</v>
      </c>
      <c r="E10" s="86">
        <f>IFERROR((SUM(D10-C10)/C10),0)</f>
        <v/>
      </c>
      <c r="F10" s="74" t="n">
        <v>874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/>
      </c>
      <c r="K10" s="89">
        <f>IFERROR(J10/SUM(F10),0)</f>
        <v/>
      </c>
      <c r="L10" s="73" t="n">
        <v>12653.5</v>
      </c>
      <c r="M10" s="26" t="n"/>
    </row>
    <row r="11" ht="15.6" customHeight="1">
      <c r="A11" s="39" t="inlineStr">
        <is>
          <t>Eagles Landing</t>
        </is>
      </c>
      <c r="B11" s="112">
        <f>'6 May - 12 May'!D11</f>
        <v/>
      </c>
      <c r="C11" s="73" t="n">
        <v>287710.11</v>
      </c>
      <c r="D11" s="73" t="n">
        <v>321781.94</v>
      </c>
      <c r="E11" s="86">
        <f>IFERROR((SUM(D11-C11)/C11),0)</f>
        <v/>
      </c>
      <c r="F11" s="74" t="n">
        <v>2193</v>
      </c>
      <c r="G11" s="63">
        <f>IFERROR(D11/F11,0)</f>
        <v/>
      </c>
      <c r="H11" s="61" t="n">
        <v>95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/>
      </c>
      <c r="K11" s="89">
        <f>IFERROR(J11/SUM(F11),0)</f>
        <v/>
      </c>
      <c r="L11" s="73" t="n">
        <v>23521.53</v>
      </c>
      <c r="M11" s="26" t="n"/>
    </row>
    <row r="12" ht="15.6" customHeight="1">
      <c r="A12" s="40" t="inlineStr">
        <is>
          <t>Stellenbosch</t>
        </is>
      </c>
      <c r="B12" s="112">
        <f>'6 May - 12 May'!D12</f>
        <v/>
      </c>
      <c r="C12" s="73" t="n">
        <v>103691.4</v>
      </c>
      <c r="D12" s="73" t="n">
        <v>126268.32</v>
      </c>
      <c r="E12" s="86">
        <f>IFERROR((SUM(D12-C12)/C12),0)</f>
        <v/>
      </c>
      <c r="F12" s="74" t="n">
        <v>1240</v>
      </c>
      <c r="G12" s="63">
        <f>IFERROR(D12/F12,0)</f>
        <v/>
      </c>
      <c r="H12" s="61" t="n">
        <v>62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/>
      </c>
      <c r="K12" s="89">
        <f>IFERROR(J12/SUM(F12),0)</f>
        <v/>
      </c>
      <c r="L12" s="73" t="n">
        <v>12477.5</v>
      </c>
      <c r="M12" s="26" t="n"/>
    </row>
    <row r="13" ht="15.6" customHeight="1">
      <c r="A13" s="40" t="inlineStr">
        <is>
          <t>Lynnwood</t>
        </is>
      </c>
      <c r="B13" s="112">
        <f>'6 May - 12 May'!D13</f>
        <v/>
      </c>
      <c r="C13" s="73" t="n">
        <v>169358.35</v>
      </c>
      <c r="D13" s="73" t="n">
        <v>195027.05</v>
      </c>
      <c r="E13" s="86">
        <f>IFERROR((SUM(D13-C13)/C13),0)</f>
        <v/>
      </c>
      <c r="F13" s="74" t="n">
        <v>1403</v>
      </c>
      <c r="G13" s="63">
        <f>IFERROR(D13/F13,0)</f>
        <v/>
      </c>
      <c r="H13" s="61" t="n">
        <v>66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/>
      </c>
      <c r="K13" s="89">
        <f>IFERROR(J13/SUM(F13),0)</f>
        <v/>
      </c>
      <c r="L13" s="73" t="n">
        <v>11100.7</v>
      </c>
      <c r="M13" s="26" t="n"/>
    </row>
    <row r="14" ht="15.6" customHeight="1">
      <c r="A14" s="40" t="inlineStr">
        <is>
          <t>Wellington</t>
        </is>
      </c>
      <c r="B14" s="112">
        <f>'6 May - 12 May'!D14</f>
        <v/>
      </c>
      <c r="C14" s="73" t="n">
        <v>41410.68</v>
      </c>
      <c r="D14" s="73">
        <f>IFERROR(VLOOKUP(A14,Data!A:E,4,FALSE),0)</f>
        <v/>
      </c>
      <c r="E14" s="86">
        <f>IFERROR((SUM(D14-C14)/C14),0)</f>
        <v/>
      </c>
      <c r="F14" s="74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/>
      </c>
      <c r="K14" s="89">
        <f>IFERROR(J14/SUM(F14),0)</f>
        <v/>
      </c>
      <c r="L14" s="73">
        <f>IFERROR(VLOOKUP(A14,Data!A:E,3,FALSE),0)</f>
        <v/>
      </c>
      <c r="M14" s="26" t="n"/>
    </row>
    <row r="15" ht="15.6" customHeight="1">
      <c r="A15" s="40" t="inlineStr">
        <is>
          <t>Hartenbos</t>
        </is>
      </c>
      <c r="B15" s="112">
        <f>'6 May - 12 May'!D15</f>
        <v/>
      </c>
      <c r="C15" s="73" t="n">
        <v>94936.64999999999</v>
      </c>
      <c r="D15" s="73" t="n">
        <v>127940.31</v>
      </c>
      <c r="E15" s="86">
        <f>IFERROR((SUM(D15-C15)/C15),0)</f>
        <v/>
      </c>
      <c r="F15" s="74" t="n">
        <v>1190</v>
      </c>
      <c r="G15" s="63">
        <f>IFERROR(D15/F15,0)</f>
        <v/>
      </c>
      <c r="H15" s="61" t="n">
        <v>57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/>
      </c>
      <c r="K15" s="89">
        <f>IFERROR(J15/SUM(F15),0)</f>
        <v/>
      </c>
      <c r="L15" s="73" t="n">
        <v>3574</v>
      </c>
      <c r="M15" s="9" t="n"/>
    </row>
    <row r="16" ht="15.6" customHeight="1">
      <c r="A16" s="40" t="inlineStr">
        <is>
          <t>Kyalami Corner</t>
        </is>
      </c>
      <c r="B16" s="112">
        <f>'6 May - 12 May'!D16</f>
        <v/>
      </c>
      <c r="C16" s="73" t="n">
        <v>105933.05</v>
      </c>
      <c r="D16" s="73" t="n">
        <v>125341.75</v>
      </c>
      <c r="E16" s="86">
        <f>IFERROR((SUM(D16-C16)/C16),0)</f>
        <v/>
      </c>
      <c r="F16" s="74" t="n">
        <v>844</v>
      </c>
      <c r="G16" s="63">
        <f>IFERROR(D16/F16,0)</f>
        <v/>
      </c>
      <c r="H16" s="61" t="n">
        <v>18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/>
      </c>
      <c r="K16" s="89">
        <f>IFERROR(J16/SUM(F16),0)</f>
        <v/>
      </c>
      <c r="L16" s="73" t="n">
        <v>11252.7</v>
      </c>
      <c r="M16" s="9" t="n"/>
    </row>
    <row r="17" ht="15.6" customHeight="1">
      <c r="A17" s="40" t="inlineStr">
        <is>
          <t>Paulshof</t>
        </is>
      </c>
      <c r="B17" s="112">
        <f>'6 May - 12 May'!D17</f>
        <v/>
      </c>
      <c r="C17" s="73" t="n">
        <v>155721.71</v>
      </c>
      <c r="D17" s="73" t="n">
        <v>194146.4</v>
      </c>
      <c r="E17" s="86">
        <f>IFERROR((SUM(D17-C17)/C17),0)</f>
        <v/>
      </c>
      <c r="F17" s="74" t="n">
        <v>1230</v>
      </c>
      <c r="G17" s="63">
        <f>IFERROR(D17/F17,0)</f>
        <v/>
      </c>
      <c r="H17" s="61" t="n">
        <v>75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/>
      </c>
      <c r="K17" s="89">
        <f>IFERROR(J17/SUM(F17),0)</f>
        <v/>
      </c>
      <c r="L17" s="73" t="n">
        <v>11482.35</v>
      </c>
      <c r="M17" s="9" t="n"/>
    </row>
    <row r="18" ht="15.6" customHeight="1">
      <c r="A18" s="40" t="inlineStr">
        <is>
          <t>Queenswood</t>
        </is>
      </c>
      <c r="B18" s="112">
        <f>'6 May - 12 May'!D18</f>
        <v/>
      </c>
      <c r="C18" s="73">
        <f>IFERROR(VLOOKUP(A18,'May 7 - May 13'!A:F,6,FALSE),0)</f>
        <v/>
      </c>
      <c r="D18" s="73" t="n">
        <v>151423.45</v>
      </c>
      <c r="E18" s="86">
        <f>IFERROR((SUM(D18-C18)/C18),0)</f>
        <v/>
      </c>
      <c r="F18" s="74" t="n">
        <v>1277</v>
      </c>
      <c r="G18" s="63">
        <f>IFERROR(D18/F18,0)</f>
        <v/>
      </c>
      <c r="H18" s="61" t="n">
        <v>53</v>
      </c>
      <c r="I18" s="28">
        <f>IFERROR(H18/F18,0)</f>
        <v/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/>
      </c>
      <c r="K18" s="89">
        <f>IFERROR(J18/SUM(F18),0)</f>
        <v/>
      </c>
      <c r="L18" s="73" t="n">
        <v>3202.5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topLeftCell="A3" zoomScale="78" workbookViewId="0">
      <selection activeCell="A4" sqref="A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  <col width="12.33203125" customWidth="1" min="16" max="16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5.6" customHeigh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217085.03</v>
      </c>
      <c r="C6" s="123" t="n">
        <v>221825.67</v>
      </c>
      <c r="D6" s="144" t="n">
        <v>221316.49</v>
      </c>
      <c r="E6" s="154">
        <f>IFERROR((SUM(D6-C6)/C6),0)</f>
        <v/>
      </c>
      <c r="F6" s="149" t="n">
        <v>1716</v>
      </c>
      <c r="G6" s="124">
        <f>IFERROR(D6/F6,0)</f>
        <v/>
      </c>
      <c r="H6" s="125" t="n">
        <v>59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/>
      </c>
      <c r="K6" s="128">
        <f>IFERROR(J6/SUM(F6),0)</f>
        <v/>
      </c>
      <c r="L6" s="129" t="n">
        <v>15424.95</v>
      </c>
      <c r="M6" s="26" t="n"/>
    </row>
    <row r="7" ht="15.6" customHeight="1">
      <c r="A7" s="406" t="inlineStr">
        <is>
          <t>Melrose Arch</t>
        </is>
      </c>
      <c r="B7" s="158" t="n">
        <v>208131.03</v>
      </c>
      <c r="C7" s="73" t="n">
        <v>186639.79</v>
      </c>
      <c r="D7" s="145" t="n">
        <v>230507.03</v>
      </c>
      <c r="E7" s="155">
        <f>IFERROR((SUM(D7-C7)/C7),0)</f>
        <v/>
      </c>
      <c r="F7" s="150" t="n">
        <v>1732</v>
      </c>
      <c r="G7" s="63">
        <f>IFERROR(D7/F7,0)</f>
        <v/>
      </c>
      <c r="H7" s="61" t="n">
        <v>76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/>
      </c>
      <c r="K7" s="89">
        <f>IFERROR(J7/SUM(F7),0)</f>
        <v/>
      </c>
      <c r="L7" s="130" t="n">
        <v>15958</v>
      </c>
      <c r="M7" s="26" t="n"/>
    </row>
    <row r="8" ht="15.6" customHeight="1">
      <c r="A8" s="406" t="inlineStr">
        <is>
          <t>Melville</t>
        </is>
      </c>
      <c r="B8" s="158" t="n">
        <v>98960.8</v>
      </c>
      <c r="C8" s="73" t="n">
        <v>88432.89</v>
      </c>
      <c r="D8" s="145" t="n">
        <v>105221.78</v>
      </c>
      <c r="E8" s="155">
        <f>IFERROR((SUM(D8-C8)/C8),0)</f>
        <v/>
      </c>
      <c r="F8" s="150" t="n">
        <v>753</v>
      </c>
      <c r="G8" s="63">
        <f>IFERROR(D8/F8,0)</f>
        <v/>
      </c>
      <c r="H8" s="61" t="n">
        <v>36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/>
      </c>
      <c r="K8" s="89">
        <f>IFERROR(J8/SUM(F8),0)</f>
        <v/>
      </c>
      <c r="L8" s="130" t="n">
        <v>3866.7</v>
      </c>
      <c r="M8" s="26" t="n"/>
    </row>
    <row r="9" ht="15.6" customHeight="1">
      <c r="A9" s="406" t="inlineStr">
        <is>
          <t>Rosebank</t>
        </is>
      </c>
      <c r="B9" s="158" t="n">
        <v>271779.22</v>
      </c>
      <c r="C9" s="73" t="n">
        <v>299724.59</v>
      </c>
      <c r="D9" s="145" t="n">
        <v>287415.07</v>
      </c>
      <c r="E9" s="155">
        <f>IFERROR((SUM(D9-C9)/C9),0)</f>
        <v/>
      </c>
      <c r="F9" s="150" t="n">
        <v>2043</v>
      </c>
      <c r="G9" s="63">
        <f>IFERROR(D9/F9,0)</f>
        <v/>
      </c>
      <c r="H9" s="61" t="n">
        <v>35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/>
      </c>
      <c r="K9" s="89">
        <f>IFERROR(J9/SUM(F9),0)</f>
        <v/>
      </c>
      <c r="L9" s="130" t="n">
        <v>12099.8</v>
      </c>
      <c r="M9" s="26" t="n"/>
    </row>
    <row r="10" ht="15.6" customHeight="1">
      <c r="A10" s="406" t="inlineStr">
        <is>
          <t xml:space="preserve">Waterkloof </t>
        </is>
      </c>
      <c r="B10" s="158" t="n">
        <v>130430.4</v>
      </c>
      <c r="C10" s="73" t="n">
        <v>168223.03</v>
      </c>
      <c r="D10" s="145" t="n">
        <v>144417.04</v>
      </c>
      <c r="E10" s="155">
        <f>IFERROR((SUM(D10-C10)/C10),0)</f>
        <v/>
      </c>
      <c r="F10" s="150" t="n">
        <v>998</v>
      </c>
      <c r="G10" s="63">
        <f>IFERROR(D10/F10,0)</f>
        <v/>
      </c>
      <c r="H10" s="61" t="n">
        <v>41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/>
      </c>
      <c r="K10" s="89">
        <f>IFERROR(J10/SUM(F10),0)</f>
        <v/>
      </c>
      <c r="L10" s="130" t="n">
        <v>8493.549999999999</v>
      </c>
      <c r="M10" s="26" t="n"/>
    </row>
    <row r="11" ht="15.6" customHeight="1">
      <c r="A11" s="406" t="inlineStr">
        <is>
          <t>Eagles Landing</t>
        </is>
      </c>
      <c r="B11" s="158" t="n">
        <v>321781.94</v>
      </c>
      <c r="C11" s="73" t="n">
        <v>305095.51</v>
      </c>
      <c r="D11" s="145" t="n">
        <v>330106.03</v>
      </c>
      <c r="E11" s="155">
        <f>IFERROR((SUM(D11-C11)/C11),0)</f>
        <v/>
      </c>
      <c r="F11" s="150" t="n">
        <v>2156</v>
      </c>
      <c r="G11" s="63">
        <f>IFERROR(D11/F11,0)</f>
        <v/>
      </c>
      <c r="H11" s="61" t="n">
        <v>101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/>
      </c>
      <c r="K11" s="89">
        <f>IFERROR(J11/SUM(F11),0)</f>
        <v/>
      </c>
      <c r="L11" s="130" t="n">
        <v>24152.7</v>
      </c>
      <c r="M11" s="26" t="n"/>
    </row>
    <row r="12" ht="15.6" customHeight="1">
      <c r="A12" s="160" t="inlineStr">
        <is>
          <t>Stellenbosch</t>
        </is>
      </c>
      <c r="B12" s="158" t="n">
        <v>126268.32</v>
      </c>
      <c r="C12" s="73" t="n">
        <v>111686.16</v>
      </c>
      <c r="D12" s="145" t="n">
        <v>129133.4</v>
      </c>
      <c r="E12" s="155">
        <f>IFERROR((SUM(D12-C12)/C12),0)</f>
        <v/>
      </c>
      <c r="F12" s="150" t="n">
        <v>1073</v>
      </c>
      <c r="G12" s="63">
        <f>IFERROR(D12/F12,0)</f>
        <v/>
      </c>
      <c r="H12" s="61" t="n">
        <v>46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/>
      </c>
      <c r="K12" s="89">
        <f>IFERROR(J12/SUM(F12),0)</f>
        <v/>
      </c>
      <c r="L12" s="130" t="n">
        <v>14556.5</v>
      </c>
      <c r="M12" s="26" t="n"/>
    </row>
    <row r="13" ht="15.6" customHeight="1">
      <c r="A13" s="160" t="inlineStr">
        <is>
          <t>Lynnwood</t>
        </is>
      </c>
      <c r="B13" s="158" t="n">
        <v>195027.05</v>
      </c>
      <c r="C13" s="73" t="n">
        <v>200143.4</v>
      </c>
      <c r="D13" s="145" t="n">
        <v>222565.67</v>
      </c>
      <c r="E13" s="155">
        <f>IFERROR((SUM(D13-C13)/C13),0)</f>
        <v/>
      </c>
      <c r="F13" s="150" t="n">
        <v>1560</v>
      </c>
      <c r="G13" s="63">
        <f>IFERROR(D13/F13,0)</f>
        <v/>
      </c>
      <c r="H13" s="61" t="n">
        <v>81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/>
      </c>
      <c r="K13" s="89">
        <f>IFERROR(J13/SUM(F13),0)</f>
        <v/>
      </c>
      <c r="L13" s="130" t="n">
        <v>9347.5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53164.57</v>
      </c>
      <c r="D14" s="145">
        <f>IFERROR(VLOOKUP(A14,Data!A:E,4,FALSE),0)</f>
        <v/>
      </c>
      <c r="E14" s="155">
        <f>IFERROR((SUM(D14-C14)/C14),0)</f>
        <v/>
      </c>
      <c r="F14" s="150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127940.31</v>
      </c>
      <c r="C15" s="73" t="n">
        <v>109316.15</v>
      </c>
      <c r="D15" s="145" t="n">
        <v>119331.58</v>
      </c>
      <c r="E15" s="155">
        <f>IFERROR((SUM(D15-C15)/C15),0)</f>
        <v/>
      </c>
      <c r="F15" s="150" t="n">
        <v>1028</v>
      </c>
      <c r="G15" s="63">
        <f>IFERROR(D15/F15,0)</f>
        <v/>
      </c>
      <c r="H15" s="61" t="n">
        <v>75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/>
      </c>
      <c r="K15" s="89">
        <f>IFERROR(J15/SUM(F15),0)</f>
        <v/>
      </c>
      <c r="L15" s="130" t="n">
        <v>5434.7</v>
      </c>
      <c r="M15" s="9" t="n"/>
    </row>
    <row r="16" ht="15.6" customHeight="1">
      <c r="A16" s="160" t="inlineStr">
        <is>
          <t>Kyalami Corner</t>
        </is>
      </c>
      <c r="B16" s="158" t="n">
        <v>125341.75</v>
      </c>
      <c r="C16" s="73" t="n">
        <v>125748.07</v>
      </c>
      <c r="D16" s="145" t="n">
        <v>120194.62</v>
      </c>
      <c r="E16" s="155">
        <f>IFERROR((SUM(D16-C16)/C16),0)</f>
        <v/>
      </c>
      <c r="F16" s="150" t="n">
        <v>779</v>
      </c>
      <c r="G16" s="63">
        <f>IFERROR(D16/F16,0)</f>
        <v/>
      </c>
      <c r="H16" s="61" t="n">
        <v>23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/>
      </c>
      <c r="K16" s="89">
        <f>IFERROR(J16/SUM(F16),0)</f>
        <v/>
      </c>
      <c r="L16" s="130" t="n">
        <v>8918.5</v>
      </c>
      <c r="M16" s="9" t="n"/>
    </row>
    <row r="17" ht="15.6" customHeight="1">
      <c r="A17" s="160" t="inlineStr">
        <is>
          <t>Paulshof</t>
        </is>
      </c>
      <c r="B17" s="158" t="n">
        <v>194146.4</v>
      </c>
      <c r="C17" s="73" t="n">
        <v>184789.68</v>
      </c>
      <c r="D17" s="145" t="n">
        <v>199724.82</v>
      </c>
      <c r="E17" s="155">
        <f>IFERROR((SUM(D17-C17)/C17),0)</f>
        <v/>
      </c>
      <c r="F17" s="150" t="n">
        <v>1318</v>
      </c>
      <c r="G17" s="63">
        <f>IFERROR(D17/F17,0)</f>
        <v/>
      </c>
      <c r="H17" s="61" t="n">
        <v>95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/>
      </c>
      <c r="K17" s="89">
        <f>IFERROR(J17/SUM(F17),0)</f>
        <v/>
      </c>
      <c r="L17" s="130" t="n">
        <v>14051.75</v>
      </c>
      <c r="M17" s="9" t="n"/>
    </row>
    <row r="18" ht="16.2" customHeight="1" thickBot="1">
      <c r="A18" s="161" t="inlineStr">
        <is>
          <t>Queenswood</t>
        </is>
      </c>
      <c r="B18" s="159" t="n">
        <v>151423.45</v>
      </c>
      <c r="C18" s="131">
        <f>IFERROR(VLOOKUP(A18,'May 7 - May 13'!A:F,6,FALSE),0)</f>
        <v/>
      </c>
      <c r="D18" s="146" t="n">
        <v>147605.69</v>
      </c>
      <c r="E18" s="156">
        <f>IFERROR((SUM(D18-C18)/C18),0)</f>
        <v/>
      </c>
      <c r="F18" s="151" t="n">
        <v>1108</v>
      </c>
      <c r="G18" s="132">
        <f>IFERROR(D18/F18,0)</f>
        <v/>
      </c>
      <c r="H18" s="133" t="n">
        <v>58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/>
      </c>
      <c r="K18" s="116">
        <f>IFERROR(J18/SUM(F18),0)</f>
        <v/>
      </c>
      <c r="L18" s="134" t="n">
        <v>2673.9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Q15" sqref="Q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221316.49</v>
      </c>
      <c r="C6" s="123" t="n">
        <v>216962</v>
      </c>
      <c r="D6" s="144" t="n">
        <v>228906</v>
      </c>
      <c r="E6" s="162">
        <f>IFERROR((SUM(D6-C6)/C6),0)</f>
        <v/>
      </c>
      <c r="F6" s="165" t="n">
        <v>1639</v>
      </c>
      <c r="G6" s="124">
        <f>IFERROR(D6/F6,0)</f>
        <v/>
      </c>
      <c r="H6" s="125" t="n">
        <v>65</v>
      </c>
      <c r="I6" s="126">
        <f>IFERROR(H6/F6,0)</f>
        <v/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/>
      </c>
      <c r="K6" s="128">
        <f>IFERROR(J6/SUM(F6),0)</f>
        <v/>
      </c>
      <c r="L6" s="129" t="n">
        <v>10956</v>
      </c>
      <c r="M6" s="26" t="n"/>
    </row>
    <row r="7" ht="15.6" customHeight="1">
      <c r="A7" s="406" t="inlineStr">
        <is>
          <t>Melrose Arch</t>
        </is>
      </c>
      <c r="B7" s="158" t="n">
        <v>230507.03</v>
      </c>
      <c r="C7" s="73" t="n">
        <v>176855</v>
      </c>
      <c r="D7" s="145" t="n">
        <v>291098</v>
      </c>
      <c r="E7" s="163">
        <f>IFERROR((SUM(D7-C7)/C7),0)</f>
        <v/>
      </c>
      <c r="F7" s="166" t="n">
        <v>1967</v>
      </c>
      <c r="G7" s="63">
        <f>IFERROR(D7/F7,0)</f>
        <v/>
      </c>
      <c r="H7" s="61" t="n">
        <v>108</v>
      </c>
      <c r="I7" s="28">
        <f>IFERROR(H7/F7,0)</f>
        <v/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/>
      </c>
      <c r="K7" s="89">
        <f>IFERROR(J7/SUM(F7),0)</f>
        <v/>
      </c>
      <c r="L7" s="130" t="n">
        <v>17512</v>
      </c>
      <c r="M7" s="26" t="n"/>
    </row>
    <row r="8" ht="15.6" customHeight="1">
      <c r="A8" s="406" t="inlineStr">
        <is>
          <t>Melville</t>
        </is>
      </c>
      <c r="B8" s="158" t="n">
        <v>105221.78</v>
      </c>
      <c r="C8" s="73" t="n">
        <v>103723</v>
      </c>
      <c r="D8" s="145" t="n">
        <v>129833</v>
      </c>
      <c r="E8" s="163">
        <f>IFERROR((SUM(D8-C8)/C8),0)</f>
        <v/>
      </c>
      <c r="F8" s="166" t="n">
        <v>859</v>
      </c>
      <c r="G8" s="63">
        <f>IFERROR(D8/F8,0)</f>
        <v/>
      </c>
      <c r="H8" s="61" t="n">
        <v>29</v>
      </c>
      <c r="I8" s="28">
        <f>IFERROR(H8/F8,0)</f>
        <v/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/>
      </c>
      <c r="K8" s="89">
        <f>IFERROR(J8/SUM(F8),0)</f>
        <v/>
      </c>
      <c r="L8" s="130" t="n">
        <v>3681</v>
      </c>
      <c r="M8" s="26" t="n"/>
    </row>
    <row r="9" ht="15.6" customHeight="1">
      <c r="A9" s="406" t="inlineStr">
        <is>
          <t>Rosebank</t>
        </is>
      </c>
      <c r="B9" s="158" t="n">
        <v>287415.07</v>
      </c>
      <c r="C9" s="73" t="n">
        <v>325253</v>
      </c>
      <c r="D9" s="145" t="n">
        <v>300962</v>
      </c>
      <c r="E9" s="163">
        <f>IFERROR((SUM(D9-C9)/C9),0)</f>
        <v/>
      </c>
      <c r="F9" s="166" t="n">
        <v>2123</v>
      </c>
      <c r="G9" s="63">
        <f>IFERROR(D9/F9,0)</f>
        <v/>
      </c>
      <c r="H9" s="61" t="n">
        <v>56</v>
      </c>
      <c r="I9" s="28">
        <f>IFERROR(H9/F9,0)</f>
        <v/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/>
      </c>
      <c r="K9" s="89">
        <f>IFERROR(J9/SUM(F9),0)</f>
        <v/>
      </c>
      <c r="L9" s="130" t="n">
        <v>10723</v>
      </c>
      <c r="M9" s="26" t="n"/>
    </row>
    <row r="10" ht="15.6" customHeight="1">
      <c r="A10" s="406" t="inlineStr">
        <is>
          <t xml:space="preserve">Waterkloof </t>
        </is>
      </c>
      <c r="B10" s="158" t="n">
        <v>144417.04</v>
      </c>
      <c r="C10" s="73" t="n">
        <v>129201</v>
      </c>
      <c r="D10" s="145" t="n">
        <v>163214</v>
      </c>
      <c r="E10" s="163">
        <f>IFERROR((SUM(D10-C10)/C10),0)</f>
        <v/>
      </c>
      <c r="F10" s="166" t="n">
        <v>1049</v>
      </c>
      <c r="G10" s="63">
        <f>IFERROR(D10/F10,0)</f>
        <v/>
      </c>
      <c r="H10" s="61" t="n">
        <v>40</v>
      </c>
      <c r="I10" s="28">
        <f>IFERROR(H10/F10,0)</f>
        <v/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/>
      </c>
      <c r="K10" s="89">
        <f>IFERROR(J10/SUM(F10),0)</f>
        <v/>
      </c>
      <c r="L10" s="130" t="n">
        <v>7889</v>
      </c>
      <c r="M10" s="26" t="n"/>
    </row>
    <row r="11" ht="15.6" customHeight="1">
      <c r="A11" s="406" t="inlineStr">
        <is>
          <t>Eagles Landing</t>
        </is>
      </c>
      <c r="B11" s="158" t="n">
        <v>330106.03</v>
      </c>
      <c r="C11" s="73" t="n">
        <v>315569</v>
      </c>
      <c r="D11" s="145" t="n">
        <v>346283</v>
      </c>
      <c r="E11" s="163">
        <f>IFERROR((SUM(D11-C11)/C11),0)</f>
        <v/>
      </c>
      <c r="F11" s="166" t="n">
        <v>2227</v>
      </c>
      <c r="G11" s="63">
        <f>IFERROR(D11/F11,0)</f>
        <v/>
      </c>
      <c r="H11" s="61" t="n">
        <v>155</v>
      </c>
      <c r="I11" s="28">
        <f>IFERROR(H11/F11,0)</f>
        <v/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/>
      </c>
      <c r="K11" s="89">
        <f>IFERROR(J11/SUM(F11),0)</f>
        <v/>
      </c>
      <c r="L11" s="130" t="n">
        <v>16385</v>
      </c>
      <c r="M11" s="26" t="n"/>
    </row>
    <row r="12" ht="15.6" customHeight="1">
      <c r="A12" s="160" t="inlineStr">
        <is>
          <t>Stellenbosch</t>
        </is>
      </c>
      <c r="B12" s="158" t="n">
        <v>129133.4</v>
      </c>
      <c r="C12" s="73" t="n">
        <v>111799</v>
      </c>
      <c r="D12" s="145" t="n">
        <v>146968</v>
      </c>
      <c r="E12" s="163">
        <f>IFERROR((SUM(D12-C12)/C12),0)</f>
        <v/>
      </c>
      <c r="F12" s="166" t="n">
        <v>1193</v>
      </c>
      <c r="G12" s="63">
        <f>IFERROR(D12/F12,0)</f>
        <v/>
      </c>
      <c r="H12" s="61" t="n">
        <v>83</v>
      </c>
      <c r="I12" s="28">
        <f>IFERROR(H12/F12,0)</f>
        <v/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/>
      </c>
      <c r="K12" s="89">
        <f>IFERROR(J12/SUM(F12),0)</f>
        <v/>
      </c>
      <c r="L12" s="130" t="n">
        <v>15255</v>
      </c>
      <c r="M12" s="26" t="n"/>
    </row>
    <row r="13" ht="15.6" customHeight="1">
      <c r="A13" s="160" t="inlineStr">
        <is>
          <t>Lynnwood</t>
        </is>
      </c>
      <c r="B13" s="158" t="n">
        <v>222565.67</v>
      </c>
      <c r="C13" s="73" t="n">
        <v>196039</v>
      </c>
      <c r="D13" s="145" t="n">
        <v>236376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67</v>
      </c>
      <c r="I13" s="28">
        <f>IFERROR(H13/F13,0)</f>
        <v/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/>
      </c>
      <c r="K13" s="89">
        <f>IFERROR(J13/SUM(F13),0)</f>
        <v/>
      </c>
      <c r="L13" s="130" t="n">
        <v>12461</v>
      </c>
      <c r="M13" s="26" t="n"/>
    </row>
    <row r="14" ht="15.6" customHeight="1">
      <c r="A14" s="160" t="inlineStr">
        <is>
          <t>Wellington</t>
        </is>
      </c>
      <c r="B14" s="158" t="n">
        <v>0</v>
      </c>
      <c r="C14" s="73" t="n">
        <v>41440</v>
      </c>
      <c r="D14" s="145" t="n">
        <v>0</v>
      </c>
      <c r="E14" s="163">
        <f>IFERROR((SUM(D14-C14)/C14),0)</f>
        <v/>
      </c>
      <c r="F14" s="166">
        <f>IFERROR(VLOOKUP(A14,Data!A:E,5,FALSE),0)</f>
        <v/>
      </c>
      <c r="G14" s="63">
        <f>IFERROR(D14/F14,0)</f>
        <v/>
      </c>
      <c r="H14" s="61">
        <f>VLOOKUP(A14,Promo!A:T,20,FALSE)</f>
        <v/>
      </c>
      <c r="I14" s="28">
        <f>IFERROR(H14/F14,0)</f>
        <v/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/>
      </c>
      <c r="K14" s="89">
        <f>IFERROR(J14/SUM(F14),0)</f>
        <v/>
      </c>
      <c r="L14" s="130">
        <f>IFERROR(VLOOKUP(A14,Data!A:E,3,FALSE),0)</f>
        <v/>
      </c>
      <c r="M14" s="26" t="n"/>
    </row>
    <row r="15" ht="15.6" customHeight="1">
      <c r="A15" s="160" t="inlineStr">
        <is>
          <t>Hartenbos</t>
        </is>
      </c>
      <c r="B15" s="158" t="n">
        <v>119331.58</v>
      </c>
      <c r="C15" s="73" t="n">
        <v>107350</v>
      </c>
      <c r="D15" s="145" t="n">
        <v>132890</v>
      </c>
      <c r="E15" s="163">
        <f>IFERROR((SUM(D15-C15)/C15),0)</f>
        <v/>
      </c>
      <c r="F15" s="166" t="n">
        <v>1157</v>
      </c>
      <c r="G15" s="63">
        <f>IFERROR(D15/F15,0)</f>
        <v/>
      </c>
      <c r="H15" s="61" t="n">
        <v>60</v>
      </c>
      <c r="I15" s="28">
        <f>IFERROR(H15/F15,0)</f>
        <v/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/>
      </c>
      <c r="K15" s="89">
        <f>IFERROR(J15/SUM(F15),0)</f>
        <v/>
      </c>
      <c r="L15" s="130" t="n">
        <v>4004</v>
      </c>
      <c r="M15" s="9" t="n"/>
    </row>
    <row r="16" ht="15.6" customHeight="1">
      <c r="A16" s="160" t="inlineStr">
        <is>
          <t>Kyalami Corner</t>
        </is>
      </c>
      <c r="B16" s="158" t="n">
        <v>120194.62</v>
      </c>
      <c r="C16" s="73" t="n">
        <v>126441</v>
      </c>
      <c r="D16" s="145" t="n">
        <v>132344</v>
      </c>
      <c r="E16" s="163">
        <f>IFERROR((SUM(D16-C16)/C16),0)</f>
        <v/>
      </c>
      <c r="F16" s="166" t="n">
        <v>847</v>
      </c>
      <c r="G16" s="63">
        <f>IFERROR(D16/F16,0)</f>
        <v/>
      </c>
      <c r="H16" s="61" t="n">
        <v>33</v>
      </c>
      <c r="I16" s="28">
        <f>IFERROR(H16/F16,0)</f>
        <v/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/>
      </c>
      <c r="K16" s="89">
        <f>IFERROR(J16/SUM(F16),0)</f>
        <v/>
      </c>
      <c r="L16" s="130" t="n">
        <v>8748</v>
      </c>
      <c r="M16" s="9" t="n"/>
    </row>
    <row r="17" ht="15.6" customHeight="1">
      <c r="A17" s="160" t="inlineStr">
        <is>
          <t>Paulshof</t>
        </is>
      </c>
      <c r="B17" s="158" t="n">
        <v>199724.82</v>
      </c>
      <c r="C17" s="73" t="n">
        <v>165690</v>
      </c>
      <c r="D17" s="145" t="n">
        <v>191675</v>
      </c>
      <c r="E17" s="163">
        <f>IFERROR((SUM(D17-C17)/C17),0)</f>
        <v/>
      </c>
      <c r="F17" s="166" t="n">
        <v>1287</v>
      </c>
      <c r="G17" s="63">
        <f>IFERROR(D17/F17,0)</f>
        <v/>
      </c>
      <c r="H17" s="61" t="n">
        <v>110</v>
      </c>
      <c r="I17" s="28">
        <f>IFERROR(H17/F17,0)</f>
        <v/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/>
      </c>
      <c r="K17" s="89">
        <f>IFERROR(J17/SUM(F17),0)</f>
        <v/>
      </c>
      <c r="L17" s="130" t="n">
        <v>11218</v>
      </c>
      <c r="M17" s="9" t="n"/>
    </row>
    <row r="18" ht="16.2" customHeight="1" thickBot="1">
      <c r="A18" s="161" t="inlineStr">
        <is>
          <t>Queenswood</t>
        </is>
      </c>
      <c r="B18" s="159" t="n">
        <v>147605.69</v>
      </c>
      <c r="C18" s="131" t="n"/>
      <c r="D18" s="146" t="n">
        <v>173995</v>
      </c>
      <c r="E18" s="164">
        <f>IFERROR((SUM(D18-C18)/C18),0)</f>
        <v/>
      </c>
      <c r="F18" s="167" t="n">
        <v>1317</v>
      </c>
      <c r="G18" s="132">
        <f>IFERROR(D18/F18,0)</f>
        <v/>
      </c>
      <c r="H18" s="133" t="n">
        <v>71</v>
      </c>
      <c r="I18" s="114">
        <f>IFERROR(H18/F18,0)</f>
        <v/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/>
      </c>
      <c r="K18" s="116">
        <f>IFERROR(J18/SUM(F18),0)</f>
        <v/>
      </c>
      <c r="L18" s="134" t="n">
        <v>3714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1" sqref="H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228906</v>
      </c>
      <c r="C6" s="123" t="n">
        <v>196627.05</v>
      </c>
      <c r="D6" s="144" t="n">
        <v>245311.38</v>
      </c>
      <c r="E6" s="162">
        <f>IFERROR((SUM(D6-C6)/C6),0)</f>
        <v/>
      </c>
      <c r="F6" s="165" t="n">
        <v>1775</v>
      </c>
      <c r="G6" s="124">
        <f>IFERROR(D6/F6,0)</f>
        <v/>
      </c>
      <c r="H6" s="125" t="n">
        <v>19</v>
      </c>
      <c r="I6" s="168">
        <f>IFERROR(H6/F6,0)</f>
        <v/>
      </c>
      <c r="J6" s="174">
        <f>H6</f>
        <v/>
      </c>
      <c r="K6" s="171">
        <f>IFERROR(J6/SUM(F6),0)</f>
        <v/>
      </c>
      <c r="L6" s="129" t="n">
        <v>15256</v>
      </c>
      <c r="M6" s="26" t="n"/>
    </row>
    <row r="7" ht="15.6" customHeight="1">
      <c r="A7" s="406" t="inlineStr">
        <is>
          <t>Melrose Arch</t>
        </is>
      </c>
      <c r="B7" s="158" t="n">
        <v>291098</v>
      </c>
      <c r="C7" s="73" t="n">
        <v>173968.25</v>
      </c>
      <c r="D7" s="145" t="n">
        <v>262809.21</v>
      </c>
      <c r="E7" s="163">
        <f>IFERROR((SUM(D7-C7)/C7),0)</f>
        <v/>
      </c>
      <c r="F7" s="166" t="n">
        <v>1827</v>
      </c>
      <c r="G7" s="63">
        <f>IFERROR(D7/F7,0)</f>
        <v/>
      </c>
      <c r="H7" s="61" t="n">
        <v>36</v>
      </c>
      <c r="I7" s="169">
        <f>IFERROR(H7/F7,0)</f>
        <v/>
      </c>
      <c r="J7" s="175">
        <f>H7</f>
        <v/>
      </c>
      <c r="K7" s="172">
        <f>IFERROR(J7/SUM(F7),0)</f>
        <v/>
      </c>
      <c r="L7" s="130" t="n">
        <v>13264</v>
      </c>
      <c r="M7" s="26" t="n"/>
    </row>
    <row r="8" ht="15.6" customHeight="1">
      <c r="A8" s="406" t="inlineStr">
        <is>
          <t>Melville</t>
        </is>
      </c>
      <c r="B8" s="158" t="n">
        <v>129833</v>
      </c>
      <c r="C8" s="73" t="n">
        <v>107361.01</v>
      </c>
      <c r="D8" s="145" t="n">
        <v>109264.66</v>
      </c>
      <c r="E8" s="163">
        <f>IFERROR((SUM(D8-C8)/C8),0)</f>
        <v/>
      </c>
      <c r="F8" s="166" t="n">
        <v>866</v>
      </c>
      <c r="G8" s="63">
        <f>IFERROR(D8/F8,0)</f>
        <v/>
      </c>
      <c r="H8" s="61" t="n">
        <v>5</v>
      </c>
      <c r="I8" s="169">
        <f>IFERROR(H8/F8,0)</f>
        <v/>
      </c>
      <c r="J8" s="175">
        <f>H8</f>
        <v/>
      </c>
      <c r="K8" s="172">
        <f>IFERROR(J8/SUM(F8),0)</f>
        <v/>
      </c>
      <c r="L8" s="130" t="n">
        <v>5767.9</v>
      </c>
      <c r="M8" s="26" t="n"/>
    </row>
    <row r="9" ht="15.6" customHeight="1">
      <c r="A9" s="406" t="inlineStr">
        <is>
          <t>Rosebank</t>
        </is>
      </c>
      <c r="B9" s="158" t="n">
        <v>300962</v>
      </c>
      <c r="C9" s="73" t="n">
        <v>285115.41</v>
      </c>
      <c r="D9" s="145" t="n">
        <v>308917.94</v>
      </c>
      <c r="E9" s="163">
        <f>IFERROR((SUM(D9-C9)/C9),0)</f>
        <v/>
      </c>
      <c r="F9" s="166" t="n">
        <v>2176</v>
      </c>
      <c r="G9" s="63">
        <f>IFERROR(D9/F9,0)</f>
        <v/>
      </c>
      <c r="H9" s="61" t="n">
        <v>20</v>
      </c>
      <c r="I9" s="169">
        <f>IFERROR(H9/F9,0)</f>
        <v/>
      </c>
      <c r="J9" s="175">
        <f>H9</f>
        <v/>
      </c>
      <c r="K9" s="172">
        <f>IFERROR(J9/SUM(F9),0)</f>
        <v/>
      </c>
      <c r="L9" s="130" t="n">
        <v>13316</v>
      </c>
      <c r="M9" s="26" t="n"/>
    </row>
    <row r="10" ht="15.6" customHeight="1">
      <c r="A10" s="406" t="inlineStr">
        <is>
          <t xml:space="preserve">Waterkloof </t>
        </is>
      </c>
      <c r="B10" s="158" t="n">
        <v>163214</v>
      </c>
      <c r="C10" s="73" t="n">
        <v>114333.9</v>
      </c>
      <c r="D10" s="145" t="n">
        <v>137777</v>
      </c>
      <c r="E10" s="163">
        <f>IFERROR((SUM(D10-C10)/C10),0)</f>
        <v/>
      </c>
      <c r="F10" s="166" t="n">
        <v>915</v>
      </c>
      <c r="G10" s="63">
        <f>IFERROR(D10/F10,0)</f>
        <v/>
      </c>
      <c r="H10" s="61" t="n">
        <v>18</v>
      </c>
      <c r="I10" s="169">
        <f>IFERROR(H10/F10,0)</f>
        <v/>
      </c>
      <c r="J10" s="175">
        <f>H10</f>
        <v/>
      </c>
      <c r="K10" s="172">
        <f>IFERROR(J10/SUM(F10),0)</f>
        <v/>
      </c>
      <c r="L10" s="130" t="n">
        <v>8605</v>
      </c>
      <c r="M10" s="26" t="n"/>
    </row>
    <row r="11" ht="15.6" customHeight="1">
      <c r="A11" s="406" t="inlineStr">
        <is>
          <t>Eagles Landing</t>
        </is>
      </c>
      <c r="B11" s="158" t="n">
        <v>346283</v>
      </c>
      <c r="C11" s="73" t="n">
        <v>284486.68</v>
      </c>
      <c r="D11" s="145" t="n">
        <v>317888.62</v>
      </c>
      <c r="E11" s="163">
        <f>IFERROR((SUM(D11-C11)/C11),0)</f>
        <v/>
      </c>
      <c r="F11" s="166" t="n">
        <v>2145</v>
      </c>
      <c r="G11" s="63">
        <f>IFERROR(D11/F11,0)</f>
        <v/>
      </c>
      <c r="H11" s="61" t="n">
        <v>20</v>
      </c>
      <c r="I11" s="169">
        <f>IFERROR(H11/F11,0)</f>
        <v/>
      </c>
      <c r="J11" s="175">
        <f>H11</f>
        <v/>
      </c>
      <c r="K11" s="172">
        <f>IFERROR(J11/SUM(F11),0)</f>
        <v/>
      </c>
      <c r="L11" s="130" t="n">
        <v>16722</v>
      </c>
      <c r="M11" s="26" t="n"/>
    </row>
    <row r="12" ht="15.6" customHeight="1">
      <c r="A12" s="160" t="inlineStr">
        <is>
          <t>Stellenbosch</t>
        </is>
      </c>
      <c r="B12" s="158" t="n">
        <v>146968</v>
      </c>
      <c r="C12" s="73" t="n">
        <v>109155.43</v>
      </c>
      <c r="D12" s="145" t="n">
        <v>132072.19</v>
      </c>
      <c r="E12" s="163">
        <f>IFERROR((SUM(D12-C12)/C12),0)</f>
        <v/>
      </c>
      <c r="F12" s="166" t="n">
        <v>1230</v>
      </c>
      <c r="G12" s="63">
        <f>IFERROR(D12/F12,0)</f>
        <v/>
      </c>
      <c r="H12" s="61" t="n">
        <v>9</v>
      </c>
      <c r="I12" s="169">
        <f>IFERROR(H12/F12,0)</f>
        <v/>
      </c>
      <c r="J12" s="175">
        <f>H12</f>
        <v/>
      </c>
      <c r="K12" s="172">
        <f>IFERROR(J12/SUM(F12),0)</f>
        <v/>
      </c>
      <c r="L12" s="130" t="n">
        <v>14964</v>
      </c>
      <c r="M12" s="26" t="n"/>
    </row>
    <row r="13" ht="15.6" customHeight="1">
      <c r="A13" s="160" t="inlineStr">
        <is>
          <t>Lynnwood</t>
        </is>
      </c>
      <c r="B13" s="158" t="n">
        <v>236376</v>
      </c>
      <c r="C13" s="73" t="n">
        <v>183499.55</v>
      </c>
      <c r="D13" s="145" t="n">
        <v>205934.81</v>
      </c>
      <c r="E13" s="163">
        <f>IFERROR((SUM(D13-C13)/C13),0)</f>
        <v/>
      </c>
      <c r="F13" s="166" t="n">
        <v>1540</v>
      </c>
      <c r="G13" s="63">
        <f>IFERROR(D13/F13,0)</f>
        <v/>
      </c>
      <c r="H13" s="61" t="n">
        <v>17</v>
      </c>
      <c r="I13" s="169">
        <f>IFERROR(H13/F13,0)</f>
        <v/>
      </c>
      <c r="J13" s="175">
        <f>H13</f>
        <v/>
      </c>
      <c r="K13" s="172">
        <f>IFERROR(J13/SUM(F13),0)</f>
        <v/>
      </c>
      <c r="L13" s="130" t="n">
        <v>9639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59038.27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H14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132890</v>
      </c>
      <c r="C15" s="73" t="n">
        <v>99714.09</v>
      </c>
      <c r="D15" s="145" t="n">
        <v>129751.08</v>
      </c>
      <c r="E15" s="163">
        <f>IFERROR((SUM(D15-C15)/C15),0)</f>
        <v/>
      </c>
      <c r="F15" s="166" t="n">
        <v>1108</v>
      </c>
      <c r="G15" s="63">
        <f>IFERROR(D15/F15,0)</f>
        <v/>
      </c>
      <c r="H15" s="61" t="n">
        <v>9</v>
      </c>
      <c r="I15" s="169">
        <f>IFERROR(H15/F15,0)</f>
        <v/>
      </c>
      <c r="J15" s="175">
        <f>H15</f>
        <v/>
      </c>
      <c r="K15" s="172">
        <f>IFERROR(J15/SUM(F15),0)</f>
        <v/>
      </c>
      <c r="L15" s="130" t="n">
        <v>4551</v>
      </c>
      <c r="M15" s="9" t="n"/>
    </row>
    <row r="16" ht="15.6" customHeight="1">
      <c r="A16" s="160" t="inlineStr">
        <is>
          <t>Kyalami Corner</t>
        </is>
      </c>
      <c r="B16" s="158" t="n">
        <v>132344</v>
      </c>
      <c r="C16" s="73" t="n">
        <v>117142.32</v>
      </c>
      <c r="D16" s="145" t="n">
        <v>113756.77</v>
      </c>
      <c r="E16" s="163">
        <f>IFERROR((SUM(D16-C16)/C16),0)</f>
        <v/>
      </c>
      <c r="F16" s="166" t="n">
        <v>774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H16</f>
        <v/>
      </c>
      <c r="K16" s="172">
        <f>IFERROR(J16/SUM(F16),0)</f>
        <v/>
      </c>
      <c r="L16" s="130" t="n">
        <v>8450</v>
      </c>
      <c r="M16" s="9" t="n"/>
    </row>
    <row r="17" ht="15.6" customHeight="1">
      <c r="A17" s="160" t="inlineStr">
        <is>
          <t>Paulshof</t>
        </is>
      </c>
      <c r="B17" s="158" t="n">
        <v>191675</v>
      </c>
      <c r="C17" s="73" t="n">
        <v>184110.6</v>
      </c>
      <c r="D17" s="145" t="n">
        <v>192169.17</v>
      </c>
      <c r="E17" s="163">
        <f>IFERROR((SUM(D17-C17)/C17),0)</f>
        <v/>
      </c>
      <c r="F17" s="166" t="n">
        <v>1243</v>
      </c>
      <c r="G17" s="63">
        <f>IFERROR(D17/F17,0)</f>
        <v/>
      </c>
      <c r="H17" s="61" t="n">
        <v>12</v>
      </c>
      <c r="I17" s="169">
        <f>IFERROR(H17/F17,0)</f>
        <v/>
      </c>
      <c r="J17" s="175">
        <f>H17</f>
        <v/>
      </c>
      <c r="K17" s="172">
        <f>IFERROR(J17/SUM(F17),0)</f>
        <v/>
      </c>
      <c r="L17" s="130" t="n">
        <v>10103</v>
      </c>
      <c r="M17" s="9" t="n"/>
    </row>
    <row r="18" ht="16.2" customHeight="1" thickBot="1">
      <c r="A18" s="161" t="inlineStr">
        <is>
          <t>Queenswood</t>
        </is>
      </c>
      <c r="B18" s="159" t="n">
        <v>173995</v>
      </c>
      <c r="C18" s="131" t="n"/>
      <c r="D18" s="146" t="n">
        <v>152760.03</v>
      </c>
      <c r="E18" s="164">
        <f>IFERROR((SUM(D18-C18)/C18),0)</f>
        <v/>
      </c>
      <c r="F18" s="167" t="n">
        <v>1174</v>
      </c>
      <c r="G18" s="132">
        <f>IFERROR(D18/F18,0)</f>
        <v/>
      </c>
      <c r="H18" s="133" t="n">
        <v>18</v>
      </c>
      <c r="I18" s="170">
        <f>IFERROR(H18/F18,0)</f>
        <v/>
      </c>
      <c r="J18" s="176">
        <f>H18</f>
        <v/>
      </c>
      <c r="K18" s="173">
        <f>IFERROR(J18/SUM(F18),0)</f>
        <v/>
      </c>
      <c r="L18" s="134" t="n">
        <v>4714.25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7" sqref="H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245311.38</v>
      </c>
      <c r="C6" s="123" t="n">
        <v>219292.94</v>
      </c>
      <c r="D6" s="144" t="n">
        <v>236155.67</v>
      </c>
      <c r="E6" s="162">
        <f>IFERROR((SUM(D6-C6)/C6),0)</f>
        <v/>
      </c>
      <c r="F6" s="165" t="n">
        <v>1765</v>
      </c>
      <c r="G6" s="124">
        <f>IFERROR(D6/F6,0)</f>
        <v/>
      </c>
      <c r="H6" s="125" t="n">
        <v>26</v>
      </c>
      <c r="I6" s="168">
        <f>IFERROR(H6/F6,0)</f>
        <v/>
      </c>
      <c r="J6" s="174">
        <f>SUM(H6+'3 June - 9 June'!J6)</f>
        <v/>
      </c>
      <c r="K6" s="171">
        <f>IFERROR(J6/SUM(F6),0)</f>
        <v/>
      </c>
      <c r="L6" s="129" t="n">
        <v>9968.65</v>
      </c>
      <c r="M6" s="26" t="n"/>
    </row>
    <row r="7" ht="15.6" customHeight="1">
      <c r="A7" s="406" t="inlineStr">
        <is>
          <t>Melrose Arch</t>
        </is>
      </c>
      <c r="B7" s="158" t="n">
        <v>262809.21</v>
      </c>
      <c r="C7" s="73" t="n">
        <v>218436.81</v>
      </c>
      <c r="D7" s="145" t="n">
        <v>218653.28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8</v>
      </c>
      <c r="I7" s="169">
        <f>IFERROR(H7/F7,0)</f>
        <v/>
      </c>
      <c r="J7" s="175">
        <f>SUM(H7+'3 June - 9 June'!J7)</f>
        <v/>
      </c>
      <c r="K7" s="172">
        <f>IFERROR(J7/SUM(F7),0)</f>
        <v/>
      </c>
      <c r="L7" s="130" t="n">
        <v>11504</v>
      </c>
      <c r="M7" s="26" t="n"/>
    </row>
    <row r="8" ht="15.6" customHeight="1">
      <c r="A8" s="406" t="inlineStr">
        <is>
          <t>Melville</t>
        </is>
      </c>
      <c r="B8" s="158" t="n">
        <v>109264.66</v>
      </c>
      <c r="C8" s="73" t="n">
        <v>102311.05</v>
      </c>
      <c r="D8" s="145" t="n">
        <v>110836.84</v>
      </c>
      <c r="E8" s="163">
        <f>IFERROR((SUM(D8-C8)/C8),0)</f>
        <v/>
      </c>
      <c r="F8" s="166" t="n">
        <v>730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June'!J8)</f>
        <v/>
      </c>
      <c r="K8" s="172">
        <f>IFERROR(J8/SUM(F8),0)</f>
        <v/>
      </c>
      <c r="L8" s="130" t="n">
        <v>2971.51</v>
      </c>
      <c r="M8" s="26" t="n"/>
    </row>
    <row r="9" ht="15.6" customHeight="1">
      <c r="A9" s="406" t="inlineStr">
        <is>
          <t>Rosebank</t>
        </is>
      </c>
      <c r="B9" s="158" t="n">
        <v>308917.94</v>
      </c>
      <c r="C9" s="73" t="n">
        <v>263398.5</v>
      </c>
      <c r="D9" s="145" t="n">
        <v>274238.72</v>
      </c>
      <c r="E9" s="163">
        <f>IFERROR((SUM(D9-C9)/C9),0)</f>
        <v/>
      </c>
      <c r="F9" s="166" t="n">
        <v>2173</v>
      </c>
      <c r="G9" s="63">
        <f>IFERROR(D9/F9,0)</f>
        <v/>
      </c>
      <c r="H9" s="61" t="n">
        <v>29</v>
      </c>
      <c r="I9" s="169">
        <f>IFERROR(H9/F9,0)</f>
        <v/>
      </c>
      <c r="J9" s="175">
        <f>SUM(H9+'3 June - 9 June'!J9)</f>
        <v/>
      </c>
      <c r="K9" s="172">
        <f>IFERROR(J9/SUM(F9),0)</f>
        <v/>
      </c>
      <c r="L9" s="130" t="n">
        <v>8879.950000000001</v>
      </c>
      <c r="M9" s="26" t="n"/>
    </row>
    <row r="10" ht="15.6" customHeight="1">
      <c r="A10" s="406" t="inlineStr">
        <is>
          <t xml:space="preserve">Waterkloof </t>
        </is>
      </c>
      <c r="B10" s="158" t="n">
        <v>137777</v>
      </c>
      <c r="C10" s="73" t="n">
        <v>139559.57</v>
      </c>
      <c r="D10" s="145" t="n">
        <v>143400.2</v>
      </c>
      <c r="E10" s="163">
        <f>IFERROR((SUM(D10-C10)/C10),0)</f>
        <v/>
      </c>
      <c r="F10" s="166" t="n">
        <v>994</v>
      </c>
      <c r="G10" s="63">
        <f>IFERROR(D10/F10,0)</f>
        <v/>
      </c>
      <c r="H10" s="61" t="n">
        <v>17</v>
      </c>
      <c r="I10" s="169">
        <f>IFERROR(H10/F10,0)</f>
        <v/>
      </c>
      <c r="J10" s="175">
        <f>SUM(H10+'3 June - 9 June'!J10)</f>
        <v/>
      </c>
      <c r="K10" s="172">
        <f>IFERROR(J10/SUM(F10),0)</f>
        <v/>
      </c>
      <c r="L10" s="130" t="n">
        <v>10330.57</v>
      </c>
      <c r="M10" s="26" t="n"/>
    </row>
    <row r="11" ht="15.6" customHeight="1">
      <c r="A11" s="406" t="inlineStr">
        <is>
          <t>Eagles Landing</t>
        </is>
      </c>
      <c r="B11" s="158" t="n">
        <v>317888.62</v>
      </c>
      <c r="C11" s="73" t="n">
        <v>292034.61</v>
      </c>
      <c r="D11" s="145" t="n">
        <v>345738.87</v>
      </c>
      <c r="E11" s="163">
        <f>IFERROR((SUM(D11-C11)/C11),0)</f>
        <v/>
      </c>
      <c r="F11" s="166" t="n">
        <v>2192</v>
      </c>
      <c r="G11" s="63">
        <f>IFERROR(D11/F11,0)</f>
        <v/>
      </c>
      <c r="H11" s="61" t="n">
        <v>47</v>
      </c>
      <c r="I11" s="169">
        <f>IFERROR(H11/F11,0)</f>
        <v/>
      </c>
      <c r="J11" s="175">
        <f>SUM(H11+'3 June - 9 June'!J11)</f>
        <v/>
      </c>
      <c r="K11" s="172">
        <f>IFERROR(J11/SUM(F11),0)</f>
        <v/>
      </c>
      <c r="L11" s="130" t="n">
        <v>17161.05</v>
      </c>
      <c r="M11" s="26" t="n"/>
    </row>
    <row r="12" ht="15.6" customHeight="1">
      <c r="A12" s="160" t="inlineStr">
        <is>
          <t>Stellenbosch</t>
        </is>
      </c>
      <c r="B12" s="158" t="n">
        <v>132072.19</v>
      </c>
      <c r="C12" s="73" t="n">
        <v>106785.85</v>
      </c>
      <c r="D12" s="145" t="n">
        <v>139419.05</v>
      </c>
      <c r="E12" s="163">
        <f>IFERROR((SUM(D12-C12)/C12),0)</f>
        <v/>
      </c>
      <c r="F12" s="166" t="n">
        <v>1114</v>
      </c>
      <c r="G12" s="63">
        <f>IFERROR(D12/F12,0)</f>
        <v/>
      </c>
      <c r="H12" s="61" t="n">
        <v>15</v>
      </c>
      <c r="I12" s="169">
        <f>IFERROR(H12/F12,0)</f>
        <v/>
      </c>
      <c r="J12" s="175">
        <f>SUM(H12+'3 June - 9 June'!J12)</f>
        <v/>
      </c>
      <c r="K12" s="172">
        <f>IFERROR(J12/SUM(F12),0)</f>
        <v/>
      </c>
      <c r="L12" s="130" t="n">
        <v>11573</v>
      </c>
      <c r="M12" s="26" t="n"/>
    </row>
    <row r="13" ht="15.6" customHeight="1">
      <c r="A13" s="160" t="inlineStr">
        <is>
          <t>Lynnwood</t>
        </is>
      </c>
      <c r="B13" s="158" t="n">
        <v>205934.81</v>
      </c>
      <c r="C13" s="73" t="n">
        <v>190973.41</v>
      </c>
      <c r="D13" s="145" t="n">
        <v>208358.17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44</v>
      </c>
      <c r="I13" s="169">
        <f>IFERROR(H13/F13,0)</f>
        <v/>
      </c>
      <c r="J13" s="175">
        <f>SUM(H13+'3 June - 9 June'!J13)</f>
        <v/>
      </c>
      <c r="K13" s="172">
        <f>IFERROR(J13/SUM(F13),0)</f>
        <v/>
      </c>
      <c r="L13" s="130" t="n">
        <v>14052.1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44107.9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129751.08</v>
      </c>
      <c r="C15" s="73" t="n">
        <v>125931.14</v>
      </c>
      <c r="D15" s="145" t="n">
        <v>170108.44</v>
      </c>
      <c r="E15" s="163">
        <f>IFERROR((SUM(D15-C15)/C15),0)</f>
        <v/>
      </c>
      <c r="F15" s="166" t="n">
        <v>1501</v>
      </c>
      <c r="G15" s="63">
        <f>IFERROR(D15/F15,0)</f>
        <v/>
      </c>
      <c r="H15" s="61" t="n">
        <v>26</v>
      </c>
      <c r="I15" s="169">
        <f>IFERROR(H15/F15,0)</f>
        <v/>
      </c>
      <c r="J15" s="175">
        <f>SUM(H15+'3 June - 9 June'!J15)</f>
        <v/>
      </c>
      <c r="K15" s="172">
        <f>IFERROR(J15/SUM(F15),0)</f>
        <v/>
      </c>
      <c r="L15" s="130" t="n">
        <v>7780.39</v>
      </c>
      <c r="M15" s="9" t="n"/>
    </row>
    <row r="16" ht="15.6" customHeight="1">
      <c r="A16" s="160" t="inlineStr">
        <is>
          <t>Kyalami Corner</t>
        </is>
      </c>
      <c r="B16" s="158" t="n">
        <v>113756.77</v>
      </c>
      <c r="C16" s="73" t="n">
        <v>114456.03</v>
      </c>
      <c r="D16" s="145" t="n">
        <v>115659.7</v>
      </c>
      <c r="E16" s="163">
        <f>IFERROR((SUM(D16-C16)/C16),0)</f>
        <v/>
      </c>
      <c r="F16" s="166" t="n">
        <v>753</v>
      </c>
      <c r="G16" s="63">
        <f>IFERROR(D16/F16,0)</f>
        <v/>
      </c>
      <c r="H16" s="61" t="n">
        <v>11</v>
      </c>
      <c r="I16" s="169">
        <f>IFERROR(H16/F16,0)</f>
        <v/>
      </c>
      <c r="J16" s="175">
        <f>SUM(H16+'3 June - 9 June'!J16)</f>
        <v/>
      </c>
      <c r="K16" s="172">
        <f>IFERROR(J16/SUM(F16),0)</f>
        <v/>
      </c>
      <c r="L16" s="130" t="n">
        <v>15086.8</v>
      </c>
      <c r="M16" s="9" t="n"/>
    </row>
    <row r="17" ht="15.6" customHeight="1">
      <c r="A17" s="160" t="inlineStr">
        <is>
          <t>Paulshof</t>
        </is>
      </c>
      <c r="B17" s="158" t="n">
        <v>192169.17</v>
      </c>
      <c r="C17" s="73" t="n">
        <v>190303.96</v>
      </c>
      <c r="D17" s="145" t="n">
        <v>183813.79</v>
      </c>
      <c r="E17" s="163">
        <f>IFERROR((SUM(D17-C17)/C17),0)</f>
        <v/>
      </c>
      <c r="F17" s="166" t="n">
        <v>1213</v>
      </c>
      <c r="G17" s="63">
        <f>IFERROR(D17/F17,0)</f>
        <v/>
      </c>
      <c r="H17" s="61" t="n">
        <v>18</v>
      </c>
      <c r="I17" s="169">
        <f>IFERROR(H17/F17,0)</f>
        <v/>
      </c>
      <c r="J17" s="175">
        <f>SUM(H17+'3 June - 9 June'!J17)</f>
        <v/>
      </c>
      <c r="K17" s="172">
        <f>IFERROR(J17/SUM(F17),0)</f>
        <v/>
      </c>
      <c r="L17" s="130" t="n">
        <v>13041.01</v>
      </c>
      <c r="M17" s="9" t="n"/>
    </row>
    <row r="18" ht="16.2" customHeight="1" thickBot="1">
      <c r="A18" s="161" t="inlineStr">
        <is>
          <t>Queenswood</t>
        </is>
      </c>
      <c r="B18" s="159" t="n">
        <v>152760.03</v>
      </c>
      <c r="C18" s="131" t="n"/>
      <c r="D18" s="146" t="n">
        <v>169068.42</v>
      </c>
      <c r="E18" s="164">
        <f>IFERROR((SUM(D18-C18)/C18),0)</f>
        <v/>
      </c>
      <c r="F18" s="167" t="n">
        <v>1296</v>
      </c>
      <c r="G18" s="132">
        <f>IFERROR(D18/F18,0)</f>
        <v/>
      </c>
      <c r="H18" s="133" t="n">
        <v>38</v>
      </c>
      <c r="I18" s="170">
        <f>IFERROR(H18/F18,0)</f>
        <v/>
      </c>
      <c r="J18" s="176">
        <f>SUM(H18+'3 June - 9 June'!J18)</f>
        <v/>
      </c>
      <c r="K18" s="173">
        <f>IFERROR(J18/SUM(F18),0)</f>
        <v/>
      </c>
      <c r="L18" s="134" t="n">
        <v>5857.5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236155.67</v>
      </c>
      <c r="C6" s="123" t="n">
        <v>221748.26</v>
      </c>
      <c r="D6" s="144" t="n">
        <v>250573.07</v>
      </c>
      <c r="E6" s="162">
        <f>IFERROR((SUM(D6-C6)/C6),0)</f>
        <v/>
      </c>
      <c r="F6" s="165" t="n">
        <v>1957</v>
      </c>
      <c r="G6" s="124">
        <f>IFERROR(D6/F6,0)</f>
        <v/>
      </c>
      <c r="H6" s="125" t="n">
        <v>18</v>
      </c>
      <c r="I6" s="168">
        <f>IFERROR(H6/F6,0)</f>
        <v/>
      </c>
      <c r="J6" s="174">
        <f>SUM(H6+'3 June - 9 June'!J6+'10 June - 16 June'!H6)</f>
        <v/>
      </c>
      <c r="K6" s="171">
        <f>IFERROR(J6/SUM(F6),0)</f>
        <v/>
      </c>
      <c r="L6" s="129" t="n">
        <v>18248.4</v>
      </c>
      <c r="M6" s="26" t="n"/>
    </row>
    <row r="7" ht="15.6" customHeight="1">
      <c r="A7" s="406" t="inlineStr">
        <is>
          <t>Melrose Arch</t>
        </is>
      </c>
      <c r="B7" s="158" t="n">
        <v>218653.28</v>
      </c>
      <c r="C7" s="73" t="n">
        <v>261691.89</v>
      </c>
      <c r="D7" s="145" t="n">
        <v>248168.49</v>
      </c>
      <c r="E7" s="163">
        <f>IFERROR((SUM(D7-C7)/C7),0)</f>
        <v/>
      </c>
      <c r="F7" s="166" t="n">
        <v>1655</v>
      </c>
      <c r="G7" s="63">
        <f>IFERROR(D7/F7,0)</f>
        <v/>
      </c>
      <c r="H7" s="61" t="n">
        <v>11</v>
      </c>
      <c r="I7" s="169">
        <f>IFERROR(H7/F7,0)</f>
        <v/>
      </c>
      <c r="J7" s="175">
        <f>SUM(H7+'3 June - 9 June'!J7+'10 June - 16 June'!H7)</f>
        <v/>
      </c>
      <c r="K7" s="172">
        <f>IFERROR(J7/SUM(F7),0)</f>
        <v/>
      </c>
      <c r="L7" s="130" t="n">
        <v>11673.7</v>
      </c>
      <c r="M7" s="26" t="n"/>
    </row>
    <row r="8" ht="15.6" customHeight="1">
      <c r="A8" s="406" t="inlineStr">
        <is>
          <t>Melville</t>
        </is>
      </c>
      <c r="B8" s="158" t="n">
        <v>110836.84</v>
      </c>
      <c r="C8" s="73" t="n">
        <v>98566.64</v>
      </c>
      <c r="D8" s="145" t="n">
        <v>99413.99000000001</v>
      </c>
      <c r="E8" s="163">
        <f>IFERROR((SUM(D8-C8)/C8),0)</f>
        <v/>
      </c>
      <c r="F8" s="166" t="n">
        <v>694</v>
      </c>
      <c r="G8" s="63">
        <f>IFERROR(D8/F8,0)</f>
        <v/>
      </c>
      <c r="H8" s="61" t="n">
        <v>0</v>
      </c>
      <c r="I8" s="169">
        <f>IFERROR(H8/F8,0)</f>
        <v/>
      </c>
      <c r="J8" s="175">
        <f>SUM(H8+'3 June - 9 June'!J8+'10 June - 16 June'!H8)</f>
        <v/>
      </c>
      <c r="K8" s="172">
        <f>IFERROR(J8/SUM(F8),0)</f>
        <v/>
      </c>
      <c r="L8" s="130" t="n">
        <v>4090</v>
      </c>
      <c r="M8" s="26" t="n"/>
    </row>
    <row r="9" ht="15.6" customHeight="1">
      <c r="A9" s="406" t="inlineStr">
        <is>
          <t>Rosebank</t>
        </is>
      </c>
      <c r="B9" s="158" t="n">
        <v>274238.72</v>
      </c>
      <c r="C9" s="73" t="n">
        <v>256409.55</v>
      </c>
      <c r="D9" s="145" t="n">
        <v>303531.06</v>
      </c>
      <c r="E9" s="163">
        <f>IFERROR((SUM(D9-C9)/C9),0)</f>
        <v/>
      </c>
      <c r="F9" s="166" t="n">
        <v>2155</v>
      </c>
      <c r="G9" s="63">
        <f>IFERROR(D9/F9,0)</f>
        <v/>
      </c>
      <c r="H9" s="61" t="n">
        <v>15</v>
      </c>
      <c r="I9" s="169">
        <f>IFERROR(H9/F9,0)</f>
        <v/>
      </c>
      <c r="J9" s="175">
        <f>SUM(H9+'3 June - 9 June'!J9+'10 June - 16 June'!H9)</f>
        <v/>
      </c>
      <c r="K9" s="172">
        <f>IFERROR(J9/SUM(F9),0)</f>
        <v/>
      </c>
      <c r="L9" s="130" t="n">
        <v>11616.6</v>
      </c>
      <c r="M9" s="26" t="n"/>
    </row>
    <row r="10" ht="15.6" customHeight="1">
      <c r="A10" s="406" t="inlineStr">
        <is>
          <t xml:space="preserve">Waterkloof </t>
        </is>
      </c>
      <c r="B10" s="158" t="n">
        <v>143400.2</v>
      </c>
      <c r="C10" s="73" t="n">
        <v>133443.57</v>
      </c>
      <c r="D10" s="145" t="n">
        <v>148386.36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16</v>
      </c>
      <c r="I10" s="169">
        <f>IFERROR(H10/F10,0)</f>
        <v/>
      </c>
      <c r="J10" s="175">
        <f>SUM(H10+'3 June - 9 June'!J10+'10 June - 16 June'!H10)</f>
        <v/>
      </c>
      <c r="K10" s="172">
        <f>IFERROR(J10/SUM(F10),0)</f>
        <v/>
      </c>
      <c r="L10" s="130" t="n">
        <v>8369</v>
      </c>
      <c r="M10" s="26" t="n"/>
    </row>
    <row r="11" ht="15.6" customHeight="1">
      <c r="A11" s="406" t="inlineStr">
        <is>
          <t>Eagles Landing</t>
        </is>
      </c>
      <c r="B11" s="158" t="n">
        <v>345738.87</v>
      </c>
      <c r="C11" s="73" t="n">
        <v>332604.81</v>
      </c>
      <c r="D11" s="145" t="n">
        <v>350406.82</v>
      </c>
      <c r="E11" s="163">
        <f>IFERROR((SUM(D11-C11)/C11),0)</f>
        <v/>
      </c>
      <c r="F11" s="166" t="n">
        <v>2102</v>
      </c>
      <c r="G11" s="63">
        <f>IFERROR(D11/F11,0)</f>
        <v/>
      </c>
      <c r="H11" s="61" t="n">
        <v>10</v>
      </c>
      <c r="I11" s="169">
        <f>IFERROR(H11/F11,0)</f>
        <v/>
      </c>
      <c r="J11" s="175">
        <f>SUM(H11+'3 June - 9 June'!J11+'10 June - 16 June'!H11)</f>
        <v/>
      </c>
      <c r="K11" s="172">
        <f>IFERROR(J11/SUM(F11),0)</f>
        <v/>
      </c>
      <c r="L11" s="130" t="n">
        <v>18066.3</v>
      </c>
      <c r="M11" s="26" t="n"/>
    </row>
    <row r="12" ht="15.6" customHeight="1">
      <c r="A12" s="160" t="inlineStr">
        <is>
          <t>Stellenbosch</t>
        </is>
      </c>
      <c r="B12" s="158" t="n">
        <v>139419.05</v>
      </c>
      <c r="C12" s="73" t="n">
        <v>95039.87</v>
      </c>
      <c r="D12" s="145" t="n">
        <v>137174.82</v>
      </c>
      <c r="E12" s="163">
        <f>IFERROR((SUM(D12-C12)/C12),0)</f>
        <v/>
      </c>
      <c r="F12" s="166" t="n">
        <v>1070</v>
      </c>
      <c r="G12" s="63">
        <f>IFERROR(D12/F12,0)</f>
        <v/>
      </c>
      <c r="H12" s="61" t="n">
        <v>6</v>
      </c>
      <c r="I12" s="169">
        <f>IFERROR(H12/F12,0)</f>
        <v/>
      </c>
      <c r="J12" s="175">
        <f>SUM(H12+'3 June - 9 June'!J12+'10 June - 16 June'!H12)</f>
        <v/>
      </c>
      <c r="K12" s="172">
        <f>IFERROR(J12/SUM(F12),0)</f>
        <v/>
      </c>
      <c r="L12" s="130" t="n">
        <v>11834.6</v>
      </c>
      <c r="M12" s="26" t="n"/>
    </row>
    <row r="13" ht="15.6" customHeight="1">
      <c r="A13" s="160" t="inlineStr">
        <is>
          <t>Lynnwood</t>
        </is>
      </c>
      <c r="B13" s="158" t="n">
        <v>208358.17</v>
      </c>
      <c r="C13" s="73" t="n">
        <v>172619.4</v>
      </c>
      <c r="D13" s="145" t="n">
        <v>203275.18</v>
      </c>
      <c r="E13" s="163">
        <f>IFERROR((SUM(D13-C13)/C13),0)</f>
        <v/>
      </c>
      <c r="F13" s="166" t="n">
        <v>1444</v>
      </c>
      <c r="G13" s="63">
        <f>IFERROR(D13/F13,0)</f>
        <v/>
      </c>
      <c r="H13" s="61" t="n">
        <v>8</v>
      </c>
      <c r="I13" s="169">
        <f>IFERROR(H13/F13,0)</f>
        <v/>
      </c>
      <c r="J13" s="175">
        <f>SUM(H13+'3 June - 9 June'!J13+'10 June - 16 June'!H13)</f>
        <v/>
      </c>
      <c r="K13" s="172">
        <f>IFERROR(J13/SUM(F13),0)</f>
        <v/>
      </c>
      <c r="L13" s="130" t="n">
        <v>8295.799999999999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36064.43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June'!J14+'10 June - 16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170108.44</v>
      </c>
      <c r="C15" s="73" t="n">
        <v>121208.28</v>
      </c>
      <c r="D15" s="145" t="n">
        <v>204166.38</v>
      </c>
      <c r="E15" s="163">
        <f>IFERROR((SUM(D15-C15)/C15),0)</f>
        <v/>
      </c>
      <c r="F15" s="166" t="n">
        <v>1865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June'!J15+'10 June - 16 June'!H15)</f>
        <v/>
      </c>
      <c r="K15" s="172">
        <f>IFERROR(J15/SUM(F15),0)</f>
        <v/>
      </c>
      <c r="L15" s="130" t="n">
        <v>9501.040000000001</v>
      </c>
      <c r="M15" s="9" t="n"/>
    </row>
    <row r="16" ht="15.6" customHeight="1">
      <c r="A16" s="160" t="inlineStr">
        <is>
          <t>Kyalami Corner</t>
        </is>
      </c>
      <c r="B16" s="158" t="n">
        <v>115659.7</v>
      </c>
      <c r="C16" s="73" t="n">
        <v>107966.63</v>
      </c>
      <c r="D16" s="145" t="n">
        <v>119243.42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9</v>
      </c>
      <c r="I16" s="169">
        <f>IFERROR(H16/F16,0)</f>
        <v/>
      </c>
      <c r="J16" s="175">
        <f>SUM(H16+'3 June - 9 June'!J16+'10 June - 16 June'!H16)</f>
        <v/>
      </c>
      <c r="K16" s="172">
        <f>IFERROR(J16/SUM(F16),0)</f>
        <v/>
      </c>
      <c r="L16" s="130" t="n">
        <v>11309.9</v>
      </c>
      <c r="M16" s="9" t="n"/>
    </row>
    <row r="17" ht="15.6" customHeight="1">
      <c r="A17" s="160" t="inlineStr">
        <is>
          <t>Paulshof</t>
        </is>
      </c>
      <c r="B17" s="158" t="n">
        <v>183813.79</v>
      </c>
      <c r="C17" s="73" t="n">
        <v>166426.97</v>
      </c>
      <c r="D17" s="145" t="n">
        <v>193070.24</v>
      </c>
      <c r="E17" s="163">
        <f>IFERROR((SUM(D17-C17)/C17),0)</f>
        <v/>
      </c>
      <c r="F17" s="166" t="n">
        <v>1316</v>
      </c>
      <c r="G17" s="63">
        <f>IFERROR(D17/F17,0)</f>
        <v/>
      </c>
      <c r="H17" s="61" t="n">
        <v>5</v>
      </c>
      <c r="I17" s="169">
        <f>IFERROR(H17/F17,0)</f>
        <v/>
      </c>
      <c r="J17" s="175">
        <f>SUM(H17+'3 June - 9 June'!J17+'10 June - 16 June'!H17)</f>
        <v/>
      </c>
      <c r="K17" s="172">
        <f>IFERROR(J17/SUM(F17),0)</f>
        <v/>
      </c>
      <c r="L17" s="130" t="n">
        <v>13278.3</v>
      </c>
      <c r="M17" s="9" t="n"/>
    </row>
    <row r="18" ht="16.2" customHeight="1" thickBot="1">
      <c r="A18" s="161" t="inlineStr">
        <is>
          <t>Queenswood</t>
        </is>
      </c>
      <c r="B18" s="159" t="n">
        <v>169068.42</v>
      </c>
      <c r="C18" s="131" t="n"/>
      <c r="D18" s="146" t="n">
        <v>145702.12</v>
      </c>
      <c r="E18" s="164">
        <f>IFERROR((SUM(D18-C18)/C18),0)</f>
        <v/>
      </c>
      <c r="F18" s="167" t="n">
        <v>1121</v>
      </c>
      <c r="G18" s="132">
        <f>IFERROR(D18/F18,0)</f>
        <v/>
      </c>
      <c r="H18" s="133" t="n">
        <v>26</v>
      </c>
      <c r="I18" s="170">
        <f>IFERROR(H18/F18,0)</f>
        <v/>
      </c>
      <c r="J18" s="176">
        <f>SUM(H18+'3 June - 9 June'!J18+'10 June - 16 June'!H18)</f>
        <v/>
      </c>
      <c r="K18" s="173">
        <f>IFERROR(J18/SUM(F18),0)</f>
        <v/>
      </c>
      <c r="L18" s="134" t="n">
        <v>5046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N23" sqref="N2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250573.07</v>
      </c>
      <c r="C6" s="123" t="n">
        <v>282104.45</v>
      </c>
      <c r="D6" s="144" t="n">
        <v>271223.01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41</v>
      </c>
      <c r="I6" s="168">
        <f>IFERROR(H6/F6,0)</f>
        <v/>
      </c>
      <c r="J6" s="174">
        <f>SUM(H6+'3 June - 9 June'!H6+'10 June - 16 June'!H6+'17 June - 23 June'!H6)</f>
        <v/>
      </c>
      <c r="K6" s="171">
        <f>IFERROR(J6/SUM(F6),0)</f>
        <v/>
      </c>
      <c r="L6" s="129" t="n">
        <v>11424.4</v>
      </c>
      <c r="M6" s="26" t="n"/>
    </row>
    <row r="7" ht="15.6" customHeight="1">
      <c r="A7" s="406" t="inlineStr">
        <is>
          <t>Melrose Arch</t>
        </is>
      </c>
      <c r="B7" s="158" t="n">
        <v>248168.49</v>
      </c>
      <c r="C7" s="73" t="n">
        <v>246232.93</v>
      </c>
      <c r="D7" s="145" t="n">
        <v>268311.86</v>
      </c>
      <c r="E7" s="163">
        <f>IFERROR((SUM(D7-C7)/C7),0)</f>
        <v/>
      </c>
      <c r="F7" s="166" t="n">
        <v>1990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June'!H7)</f>
        <v/>
      </c>
      <c r="K7" s="172">
        <f>IFERROR(J7/SUM(F7),0)</f>
        <v/>
      </c>
      <c r="L7" s="130" t="n">
        <v>17656.3</v>
      </c>
      <c r="M7" s="26" t="n"/>
    </row>
    <row r="8" ht="15.6" customHeight="1">
      <c r="A8" s="406" t="inlineStr">
        <is>
          <t>Melville</t>
        </is>
      </c>
      <c r="B8" s="158" t="n">
        <v>99413.99000000001</v>
      </c>
      <c r="C8" s="73" t="n">
        <v>111333.96</v>
      </c>
      <c r="D8" s="145" t="n">
        <v>110389.7</v>
      </c>
      <c r="E8" s="163">
        <f>IFERROR((SUM(D8-C8)/C8),0)</f>
        <v/>
      </c>
      <c r="F8" s="166" t="n">
        <v>793</v>
      </c>
      <c r="G8" s="63">
        <f>IFERROR(D8/F8,0)</f>
        <v/>
      </c>
      <c r="H8" s="61" t="n">
        <v>7</v>
      </c>
      <c r="I8" s="169">
        <f>IFERROR(H8/F8,0)</f>
        <v/>
      </c>
      <c r="J8" s="175">
        <f>SUM(H8+'3 June - 9 June'!H8+'10 June - 16 June'!H8+'17 June - 23 June'!H8)</f>
        <v/>
      </c>
      <c r="K8" s="172">
        <f>IFERROR(J8/SUM(F8),0)</f>
        <v/>
      </c>
      <c r="L8" s="130" t="n">
        <v>5626.9</v>
      </c>
      <c r="M8" s="26" t="n"/>
    </row>
    <row r="9" ht="15.6" customHeight="1">
      <c r="A9" s="406" t="inlineStr">
        <is>
          <t>Rosebank</t>
        </is>
      </c>
      <c r="B9" s="158" t="n">
        <v>303531.06</v>
      </c>
      <c r="C9" s="73" t="n">
        <v>358487.91</v>
      </c>
      <c r="D9" s="145" t="n">
        <v>345874.43</v>
      </c>
      <c r="E9" s="163">
        <f>IFERROR((SUM(D9-C9)/C9),0)</f>
        <v/>
      </c>
      <c r="F9" s="166" t="n">
        <v>2480</v>
      </c>
      <c r="G9" s="63">
        <f>IFERROR(D9/F9,0)</f>
        <v/>
      </c>
      <c r="H9" s="61" t="n">
        <v>84</v>
      </c>
      <c r="I9" s="169">
        <f>IFERROR(H9/F9,0)</f>
        <v/>
      </c>
      <c r="J9" s="175">
        <f>SUM(H9+'3 June - 9 June'!H9+'10 June - 16 June'!H9+'17 June - 23 June'!H9)</f>
        <v/>
      </c>
      <c r="K9" s="172">
        <f>IFERROR(J9/SUM(F9),0)</f>
        <v/>
      </c>
      <c r="L9" s="130" t="n">
        <v>10611.7</v>
      </c>
      <c r="M9" s="26" t="n"/>
    </row>
    <row r="10" ht="15.6" customHeight="1">
      <c r="A10" s="406" t="inlineStr">
        <is>
          <t xml:space="preserve">Waterkloof </t>
        </is>
      </c>
      <c r="B10" s="158" t="n">
        <v>148386.36</v>
      </c>
      <c r="C10" s="73" t="n">
        <v>130369.13</v>
      </c>
      <c r="D10" s="145" t="n">
        <v>153229.93</v>
      </c>
      <c r="E10" s="163">
        <f>IFERROR((SUM(D10-C10)/C10),0)</f>
        <v/>
      </c>
      <c r="F10" s="166" t="n">
        <v>981</v>
      </c>
      <c r="G10" s="63">
        <f>IFERROR(D10/F10,0)</f>
        <v/>
      </c>
      <c r="H10" s="61" t="n">
        <v>20</v>
      </c>
      <c r="I10" s="169">
        <f>IFERROR(H10/F10,0)</f>
        <v/>
      </c>
      <c r="J10" s="175">
        <f>SUM(H10+'3 June - 9 June'!H10+'10 June - 16 June'!H10+'17 June - 23 June'!H10)</f>
        <v/>
      </c>
      <c r="K10" s="172">
        <f>IFERROR(J10/SUM(F10),0)</f>
        <v/>
      </c>
      <c r="L10" s="130" t="n">
        <v>7543.65</v>
      </c>
      <c r="M10" s="26" t="n"/>
    </row>
    <row r="11" ht="15.6" customHeight="1">
      <c r="A11" s="406" t="inlineStr">
        <is>
          <t>Eagles Landing</t>
        </is>
      </c>
      <c r="B11" s="158" t="n">
        <v>350406.82</v>
      </c>
      <c r="C11" s="73" t="n">
        <v>323957.95</v>
      </c>
      <c r="D11" s="145" t="n">
        <v>385707.8</v>
      </c>
      <c r="E11" s="163">
        <f>IFERROR((SUM(D11-C11)/C11),0)</f>
        <v/>
      </c>
      <c r="F11" s="166" t="n">
        <v>2352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June'!H11)</f>
        <v/>
      </c>
      <c r="K11" s="172">
        <f>IFERROR(J11/SUM(F11),0)</f>
        <v/>
      </c>
      <c r="L11" s="130" t="n">
        <v>21393.75</v>
      </c>
      <c r="M11" s="26" t="n"/>
    </row>
    <row r="12" ht="15.6" customHeight="1">
      <c r="A12" s="160" t="inlineStr">
        <is>
          <t>Stellenbosch</t>
        </is>
      </c>
      <c r="B12" s="158" t="n">
        <v>137174.82</v>
      </c>
      <c r="C12" s="73" t="n">
        <v>105734.37</v>
      </c>
      <c r="D12" s="145" t="n">
        <v>124310.04</v>
      </c>
      <c r="E12" s="163">
        <f>IFERROR((SUM(D12-C12)/C12),0)</f>
        <v/>
      </c>
      <c r="F12" s="166" t="n">
        <v>1001</v>
      </c>
      <c r="G12" s="63">
        <f>IFERROR(D12/F12,0)</f>
        <v/>
      </c>
      <c r="H12" s="61" t="n">
        <v>10</v>
      </c>
      <c r="I12" s="169">
        <f>IFERROR(H12/F12,0)</f>
        <v/>
      </c>
      <c r="J12" s="175">
        <f>SUM(H12+'3 June - 9 June'!H12+'10 June - 16 June'!H12+'17 June - 23 June'!H12)</f>
        <v/>
      </c>
      <c r="K12" s="172">
        <f>IFERROR(J12/SUM(F12),0)</f>
        <v/>
      </c>
      <c r="L12" s="130" t="n">
        <v>10098.7</v>
      </c>
      <c r="M12" s="26" t="n"/>
    </row>
    <row r="13" ht="15.6" customHeight="1">
      <c r="A13" s="160" t="inlineStr">
        <is>
          <t>Lynnwood</t>
        </is>
      </c>
      <c r="B13" s="158" t="n">
        <v>203275.18</v>
      </c>
      <c r="C13" s="73" t="n">
        <v>198019.77</v>
      </c>
      <c r="D13" s="145" t="n">
        <v>223653.62</v>
      </c>
      <c r="E13" s="163">
        <f>IFERROR((SUM(D13-C13)/C13),0)</f>
        <v/>
      </c>
      <c r="F13" s="166" t="n">
        <v>1609</v>
      </c>
      <c r="G13" s="63">
        <f>IFERROR(D13/F13,0)</f>
        <v/>
      </c>
      <c r="H13" s="61" t="n">
        <v>39</v>
      </c>
      <c r="I13" s="169">
        <f>IFERROR(H13/F13,0)</f>
        <v/>
      </c>
      <c r="J13" s="175">
        <f>SUM(H13+'3 June - 9 June'!H13+'10 June - 16 June'!H13+'17 June - 23 June'!H13)</f>
        <v/>
      </c>
      <c r="K13" s="172">
        <f>IFERROR(J13/SUM(F13),0)</f>
        <v/>
      </c>
      <c r="L13" s="130" t="n">
        <v>11246.5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39556.96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204166.38</v>
      </c>
      <c r="C15" s="73" t="n">
        <v>179618.33</v>
      </c>
      <c r="D15" s="145" t="n">
        <v>233344.84</v>
      </c>
      <c r="E15" s="163">
        <f>IFERROR((SUM(D15-C15)/C15),0)</f>
        <v/>
      </c>
      <c r="F15" s="166" t="n">
        <v>2016</v>
      </c>
      <c r="G15" s="63">
        <f>IFERROR(D15/F15,0)</f>
        <v/>
      </c>
      <c r="H15" s="61" t="n">
        <v>17</v>
      </c>
      <c r="I15" s="169">
        <f>IFERROR(H15/F15,0)</f>
        <v/>
      </c>
      <c r="J15" s="175">
        <f>SUM(H15+'3 June - 9 June'!H15+'10 June - 16 June'!H15+'17 June - 23 June'!H15)</f>
        <v/>
      </c>
      <c r="K15" s="172">
        <f>IFERROR(J15/SUM(F15),0)</f>
        <v/>
      </c>
      <c r="L15" s="130" t="n">
        <v>11896.75</v>
      </c>
      <c r="M15" s="9" t="n"/>
    </row>
    <row r="16" ht="15.6" customHeight="1">
      <c r="A16" s="160" t="inlineStr">
        <is>
          <t>Kyalami Corner</t>
        </is>
      </c>
      <c r="B16" s="158" t="n">
        <v>119243.42</v>
      </c>
      <c r="C16" s="73" t="n">
        <v>120360.07</v>
      </c>
      <c r="D16" s="145" t="n">
        <v>126934.85</v>
      </c>
      <c r="E16" s="163">
        <f>IFERROR((SUM(D16-C16)/C16),0)</f>
        <v/>
      </c>
      <c r="F16" s="166" t="n">
        <v>815</v>
      </c>
      <c r="G16" s="63">
        <f>IFERROR(D16/F16,0)</f>
        <v/>
      </c>
      <c r="H16" s="61" t="n">
        <v>13</v>
      </c>
      <c r="I16" s="169">
        <f>IFERROR(H16/F16,0)</f>
        <v/>
      </c>
      <c r="J16" s="175">
        <f>SUM(H16+'3 June - 9 June'!H16+'10 June - 16 June'!H16+'17 June - 23 June'!H16)</f>
        <v/>
      </c>
      <c r="K16" s="172">
        <f>IFERROR(J16/SUM(F16),0)</f>
        <v/>
      </c>
      <c r="L16" s="130" t="n">
        <v>7273.35</v>
      </c>
      <c r="M16" s="9" t="n"/>
    </row>
    <row r="17" ht="15.6" customHeight="1">
      <c r="A17" s="160" t="inlineStr">
        <is>
          <t>Paulshof</t>
        </is>
      </c>
      <c r="B17" s="158" t="n">
        <v>193070.24</v>
      </c>
      <c r="C17" s="73" t="n">
        <v>165635.18</v>
      </c>
      <c r="D17" s="145" t="n">
        <v>212563.92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21</v>
      </c>
      <c r="I17" s="169">
        <f>IFERROR(H17/F17,0)</f>
        <v/>
      </c>
      <c r="J17" s="175">
        <f>SUM(H17+'3 June - 9 June'!H17+'10 June - 16 June'!H17+'17 June - 23 June'!H17)</f>
        <v/>
      </c>
      <c r="K17" s="172">
        <f>IFERROR(J17/SUM(F17),0)</f>
        <v/>
      </c>
      <c r="L17" s="130" t="n">
        <v>10014.15</v>
      </c>
      <c r="M17" s="9" t="n"/>
    </row>
    <row r="18" ht="16.2" customHeight="1" thickBot="1">
      <c r="A18" s="161" t="inlineStr">
        <is>
          <t>Queenswood</t>
        </is>
      </c>
      <c r="B18" s="159" t="n">
        <v>145702.12</v>
      </c>
      <c r="C18" s="131" t="n"/>
      <c r="D18" s="146" t="n">
        <v>174527.99</v>
      </c>
      <c r="E18" s="164">
        <f>IFERROR((SUM(D18-C18)/C18),0)</f>
        <v/>
      </c>
      <c r="F18" s="167" t="n">
        <v>1300</v>
      </c>
      <c r="G18" s="132">
        <f>IFERROR(D18/F18,0)</f>
        <v/>
      </c>
      <c r="H18" s="133" t="n">
        <v>57</v>
      </c>
      <c r="I18" s="170">
        <f>IFERROR(H18/F18,0)</f>
        <v/>
      </c>
      <c r="J18" s="176">
        <f>SUM(H18+'3 June - 9 June'!H18+'10 June - 16 June'!H18+'17 June - 23 June'!H18)</f>
        <v/>
      </c>
      <c r="K18" s="173">
        <f>IFERROR(J18/SUM(F18),0)</f>
        <v/>
      </c>
      <c r="L18" s="134" t="n">
        <v>5236.6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A14" sqref="A14:XFD1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271223.01</v>
      </c>
      <c r="C6" s="123" t="n">
        <v>245546.09</v>
      </c>
      <c r="D6" s="144" t="n">
        <v>289905.35</v>
      </c>
      <c r="E6" s="162">
        <f>IFERROR((SUM(D6-C6)/C6),0)</f>
        <v/>
      </c>
      <c r="F6" s="165" t="n">
        <v>2174</v>
      </c>
      <c r="G6" s="124">
        <f>IFERROR(D6/F6,0)</f>
        <v/>
      </c>
      <c r="H6" s="125" t="n">
        <v>39</v>
      </c>
      <c r="I6" s="168">
        <f>IFERROR(H6/F6,0)</f>
        <v/>
      </c>
      <c r="J6" s="174">
        <f>SUM(H6+'3 June - 9 June'!H6+'10 June - 16 June'!H6+'17 June - 23 June'!H6+'24 June - 30 June'!H6)</f>
        <v/>
      </c>
      <c r="K6" s="171">
        <f>IFERROR(J6/SUM(F6),0)</f>
        <v/>
      </c>
      <c r="L6" s="129" t="n">
        <v>9928.1</v>
      </c>
      <c r="M6" s="26" t="n"/>
    </row>
    <row r="7" ht="15.6" customHeight="1">
      <c r="A7" s="406" t="inlineStr">
        <is>
          <t>Melrose Arch</t>
        </is>
      </c>
      <c r="B7" s="158" t="n">
        <v>268311.86</v>
      </c>
      <c r="C7" s="73" t="n">
        <v>209650.3</v>
      </c>
      <c r="D7" s="145" t="n">
        <v>262280.91</v>
      </c>
      <c r="E7" s="163">
        <f>IFERROR((SUM(D7-C7)/C7),0)</f>
        <v/>
      </c>
      <c r="F7" s="166" t="n">
        <v>1875</v>
      </c>
      <c r="G7" s="63">
        <f>IFERROR(D7/F7,0)</f>
        <v/>
      </c>
      <c r="H7" s="61" t="n">
        <v>9</v>
      </c>
      <c r="I7" s="169">
        <f>IFERROR(H7/F7,0)</f>
        <v/>
      </c>
      <c r="J7" s="175">
        <f>SUM(H7+'3 June - 9 June'!H7+'10 June - 16 June'!H7+'17 June - 23 June'!H7+'24 June - 30 June'!H7)</f>
        <v/>
      </c>
      <c r="K7" s="172">
        <f>IFERROR(J7/SUM(F7),0)</f>
        <v/>
      </c>
      <c r="L7" s="130" t="n">
        <v>15030.8</v>
      </c>
      <c r="M7" s="26" t="n"/>
    </row>
    <row r="8" ht="15.6" customHeight="1">
      <c r="A8" s="406" t="inlineStr">
        <is>
          <t>Melville</t>
        </is>
      </c>
      <c r="B8" s="158" t="n">
        <v>110389.7</v>
      </c>
      <c r="C8" s="73" t="n">
        <v>101240.13</v>
      </c>
      <c r="D8" s="145" t="n">
        <v>99818.07000000001</v>
      </c>
      <c r="E8" s="163">
        <f>IFERROR((SUM(D8-C8)/C8),0)</f>
        <v/>
      </c>
      <c r="F8" s="166" t="n">
        <v>723</v>
      </c>
      <c r="G8" s="63">
        <f>IFERROR(D8/F8,0)</f>
        <v/>
      </c>
      <c r="H8" s="61" t="n">
        <v>3</v>
      </c>
      <c r="I8" s="169">
        <f>IFERROR(H8/F8,0)</f>
        <v/>
      </c>
      <c r="J8" s="175">
        <f>SUM(H8+'3 June - 9 June'!H8+'10 June - 16 June'!H8+'17 June - 23 June'!H8+'24 June - 30 June'!H8)</f>
        <v/>
      </c>
      <c r="K8" s="172">
        <f>IFERROR(J8/SUM(F8),0)</f>
        <v/>
      </c>
      <c r="L8" s="130" t="n">
        <v>4408.7</v>
      </c>
      <c r="M8" s="26" t="n"/>
    </row>
    <row r="9" ht="15.6" customHeight="1">
      <c r="A9" s="406" t="inlineStr">
        <is>
          <t>Rosebank</t>
        </is>
      </c>
      <c r="B9" s="158" t="n">
        <v>345874.43</v>
      </c>
      <c r="C9" s="73" t="n">
        <v>285855.02</v>
      </c>
      <c r="D9" s="145" t="n">
        <v>285273.64</v>
      </c>
      <c r="E9" s="163">
        <f>IFERROR((SUM(D9-C9)/C9),0)</f>
        <v/>
      </c>
      <c r="F9" s="166" t="n">
        <v>2051</v>
      </c>
      <c r="G9" s="63">
        <f>IFERROR(D9/F9,0)</f>
        <v/>
      </c>
      <c r="H9" s="61" t="n">
        <v>33</v>
      </c>
      <c r="I9" s="169">
        <f>IFERROR(H9/F9,0)</f>
        <v/>
      </c>
      <c r="J9" s="175">
        <f>SUM(H9+'3 June - 9 June'!H9+'10 June - 16 June'!H9+'17 June - 23 June'!H9+'24 June - 30 June'!H9)</f>
        <v/>
      </c>
      <c r="K9" s="172">
        <f>IFERROR(J9/SUM(F9),0)</f>
        <v/>
      </c>
      <c r="L9" s="130" t="n">
        <v>9989.129999999999</v>
      </c>
      <c r="M9" s="26" t="n"/>
    </row>
    <row r="10" ht="15.6" customHeight="1">
      <c r="A10" s="406" t="inlineStr">
        <is>
          <t xml:space="preserve">Waterkloof </t>
        </is>
      </c>
      <c r="B10" s="158" t="n">
        <v>153229.93</v>
      </c>
      <c r="C10" s="73" t="n">
        <v>133920</v>
      </c>
      <c r="D10" s="145" t="n">
        <v>151033.79</v>
      </c>
      <c r="E10" s="163">
        <f>IFERROR((SUM(D10-C10)/C10),0)</f>
        <v/>
      </c>
      <c r="F10" s="166" t="n">
        <v>960</v>
      </c>
      <c r="G10" s="63">
        <f>IFERROR(D10/F10,0)</f>
        <v/>
      </c>
      <c r="H10" s="61" t="n">
        <v>23</v>
      </c>
      <c r="I10" s="169">
        <f>IFERROR(H10/F10,0)</f>
        <v/>
      </c>
      <c r="J10" s="175">
        <f>SUM(H10+'3 June - 9 June'!H10+'10 June - 16 June'!H10+'17 June - 23 June'!H10+'24 June - 30 June'!H10)</f>
        <v/>
      </c>
      <c r="K10" s="172">
        <f>IFERROR(J10/SUM(F10),0)</f>
        <v/>
      </c>
      <c r="L10" s="130" t="n">
        <v>9995.299999999999</v>
      </c>
      <c r="M10" s="26" t="n"/>
    </row>
    <row r="11" ht="15.6" customHeight="1">
      <c r="A11" s="406" t="inlineStr">
        <is>
          <t>Eagles Landing</t>
        </is>
      </c>
      <c r="B11" s="158" t="n">
        <v>385707.8</v>
      </c>
      <c r="C11" s="73" t="n">
        <v>294749.6</v>
      </c>
      <c r="D11" s="145" t="n">
        <v>388755.04</v>
      </c>
      <c r="E11" s="163">
        <f>IFERROR((SUM(D11-C11)/C11),0)</f>
        <v/>
      </c>
      <c r="F11" s="166" t="n">
        <v>2125</v>
      </c>
      <c r="G11" s="63">
        <f>IFERROR(D11/F11,0)</f>
        <v/>
      </c>
      <c r="H11" s="61" t="n">
        <v>28</v>
      </c>
      <c r="I11" s="169">
        <f>IFERROR(H11/F11,0)</f>
        <v/>
      </c>
      <c r="J11" s="175">
        <f>SUM(H11+'3 June - 9 June'!H11+'10 June - 16 June'!H11+'17 June - 23 June'!H11+'24 June - 30 June'!H11)</f>
        <v/>
      </c>
      <c r="K11" s="172">
        <f>IFERROR(J11/SUM(F11),0)</f>
        <v/>
      </c>
      <c r="L11" s="130" t="n">
        <v>16724.3</v>
      </c>
      <c r="M11" s="26" t="n"/>
    </row>
    <row r="12" ht="15.6" customHeight="1">
      <c r="A12" s="160" t="inlineStr">
        <is>
          <t>Stellenbosch</t>
        </is>
      </c>
      <c r="B12" s="158" t="n">
        <v>124310.04</v>
      </c>
      <c r="C12" s="73" t="n">
        <v>96327.57000000001</v>
      </c>
      <c r="D12" s="145" t="n">
        <v>130753.32</v>
      </c>
      <c r="E12" s="163">
        <f>IFERROR((SUM(D12-C12)/C12),0)</f>
        <v/>
      </c>
      <c r="F12" s="166" t="n">
        <v>1110</v>
      </c>
      <c r="G12" s="63">
        <f>IFERROR(D12/F12,0)</f>
        <v/>
      </c>
      <c r="H12" s="61" t="n">
        <v>7</v>
      </c>
      <c r="I12" s="169">
        <f>IFERROR(H12/F12,0)</f>
        <v/>
      </c>
      <c r="J12" s="175">
        <f>SUM(H12+'3 June - 9 June'!H12+'10 June - 16 June'!H12+'17 June - 23 June'!H12+'24 June - 30 June'!H12)</f>
        <v/>
      </c>
      <c r="K12" s="172">
        <f>IFERROR(J12/SUM(F12),0)</f>
        <v/>
      </c>
      <c r="L12" s="130" t="n">
        <v>14961.45</v>
      </c>
      <c r="M12" s="26" t="n"/>
    </row>
    <row r="13" ht="15.6" customHeight="1">
      <c r="A13" s="160" t="inlineStr">
        <is>
          <t>Lynnwood</t>
        </is>
      </c>
      <c r="B13" s="158" t="n">
        <v>223653.62</v>
      </c>
      <c r="C13" s="73" t="n">
        <v>183017.69</v>
      </c>
      <c r="D13" s="145" t="n">
        <v>216356.41</v>
      </c>
      <c r="E13" s="163">
        <f>IFERROR((SUM(D13-C13)/C13),0)</f>
        <v/>
      </c>
      <c r="F13" s="166" t="n">
        <v>1562</v>
      </c>
      <c r="G13" s="63">
        <f>IFERROR(D13/F13,0)</f>
        <v/>
      </c>
      <c r="H13" s="61" t="n">
        <v>61</v>
      </c>
      <c r="I13" s="169">
        <f>IFERROR(H13/F13,0)</f>
        <v/>
      </c>
      <c r="J13" s="175">
        <f>SUM(H13+'3 June - 9 June'!H13+'10 June - 16 June'!H13+'17 June - 23 June'!H13+'24 June - 30 June'!H13)</f>
        <v/>
      </c>
      <c r="K13" s="172">
        <f>IFERROR(J13/SUM(F13),0)</f>
        <v/>
      </c>
      <c r="L13" s="130" t="n">
        <v>9063.65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72970.91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>
        <v>0</v>
      </c>
      <c r="I14" s="169">
        <f>IFERROR(H14/F14,0)</f>
        <v/>
      </c>
      <c r="J14" s="175">
        <f>SUM(H14+'3 June - 9 June'!H14+'10 June - 16 June'!H14+'17 June - 23 June'!H14+'24 June - 30 June'!H14)</f>
        <v/>
      </c>
      <c r="K14" s="172">
        <f>IFERROR(J14/SUM(F14),0)</f>
        <v/>
      </c>
      <c r="L14" s="130" t="n">
        <v>0</v>
      </c>
      <c r="M14" s="26" t="n"/>
    </row>
    <row r="15" ht="15.6" customHeight="1">
      <c r="A15" s="160" t="inlineStr">
        <is>
          <t>Hartenbos</t>
        </is>
      </c>
      <c r="B15" s="158" t="n">
        <v>233344.84</v>
      </c>
      <c r="C15" s="73" t="n">
        <v>195318.92</v>
      </c>
      <c r="D15" s="145" t="n">
        <v>216202.84</v>
      </c>
      <c r="E15" s="163">
        <f>IFERROR((SUM(D15-C15)/C15),0)</f>
        <v/>
      </c>
      <c r="F15" s="166" t="n">
        <v>1811</v>
      </c>
      <c r="G15" s="63">
        <f>IFERROR(D15/F15,0)</f>
        <v/>
      </c>
      <c r="H15" s="61" t="n">
        <v>15</v>
      </c>
      <c r="I15" s="169">
        <f>IFERROR(H15/F15,0)</f>
        <v/>
      </c>
      <c r="J15" s="175">
        <f>SUM(H15+'3 June - 9 June'!H15+'10 June - 16 June'!H15+'17 June - 23 June'!H15+'24 June - 30 June'!H15)</f>
        <v/>
      </c>
      <c r="K15" s="172">
        <f>IFERROR(J15/SUM(F15),0)</f>
        <v/>
      </c>
      <c r="L15" s="130" t="n">
        <v>8878.799999999999</v>
      </c>
      <c r="M15" s="9" t="n"/>
    </row>
    <row r="16" ht="15.6" customHeight="1">
      <c r="A16" s="160" t="inlineStr">
        <is>
          <t>Kyalami Corner</t>
        </is>
      </c>
      <c r="B16" s="158" t="n">
        <v>126934.85</v>
      </c>
      <c r="C16" s="73" t="n">
        <v>95020.94</v>
      </c>
      <c r="D16" s="145" t="n">
        <v>133866.99</v>
      </c>
      <c r="E16" s="163">
        <f>IFERROR((SUM(D16-C16)/C16),0)</f>
        <v/>
      </c>
      <c r="F16" s="166" t="n">
        <v>836</v>
      </c>
      <c r="G16" s="63">
        <f>IFERROR(D16/F16,0)</f>
        <v/>
      </c>
      <c r="H16" s="61" t="n">
        <v>14</v>
      </c>
      <c r="I16" s="169">
        <f>IFERROR(H16/F16,0)</f>
        <v/>
      </c>
      <c r="J16" s="175">
        <f>SUM(H16+'3 June - 9 June'!H16+'10 June - 16 June'!H16+'17 June - 23 June'!H16+'24 June - 30 June'!H16)</f>
        <v/>
      </c>
      <c r="K16" s="172">
        <f>IFERROR(J16/SUM(F16),0)</f>
        <v/>
      </c>
      <c r="L16" s="130" t="n">
        <v>11066.5</v>
      </c>
      <c r="M16" s="9" t="n"/>
    </row>
    <row r="17" ht="15.6" customHeight="1">
      <c r="A17" s="160" t="inlineStr">
        <is>
          <t>Paulshof</t>
        </is>
      </c>
      <c r="B17" s="158" t="n">
        <v>212563.92</v>
      </c>
      <c r="C17" s="73" t="n">
        <v>163217.77</v>
      </c>
      <c r="D17" s="145" t="n">
        <v>204115.87</v>
      </c>
      <c r="E17" s="163">
        <f>IFERROR((SUM(D17-C17)/C17),0)</f>
        <v/>
      </c>
      <c r="F17" s="166" t="n">
        <v>1584</v>
      </c>
      <c r="G17" s="63">
        <f>IFERROR(D17/F17,0)</f>
        <v/>
      </c>
      <c r="H17" s="61" t="n">
        <v>20</v>
      </c>
      <c r="I17" s="169">
        <f>IFERROR(H17/F17,0)</f>
        <v/>
      </c>
      <c r="J17" s="175">
        <f>SUM(H17+'3 June - 9 June'!H17+'10 June - 16 June'!H17+'17 June - 23 June'!H17+'24 June - 30 June'!H17)</f>
        <v/>
      </c>
      <c r="K17" s="172">
        <f>IFERROR(J17/SUM(F17),0)</f>
        <v/>
      </c>
      <c r="L17" s="130" t="n">
        <v>12344.1</v>
      </c>
      <c r="M17" s="9" t="n"/>
    </row>
    <row r="18" ht="16.2" customHeight="1" thickBot="1">
      <c r="A18" s="161" t="inlineStr">
        <is>
          <t>Queenswood</t>
        </is>
      </c>
      <c r="B18" s="159" t="n">
        <v>174527.99</v>
      </c>
      <c r="C18" s="131" t="n"/>
      <c r="D18" s="146" t="n">
        <v>171677.33</v>
      </c>
      <c r="E18" s="164">
        <f>IFERROR((SUM(D18-C18)/C18),0)</f>
        <v/>
      </c>
      <c r="F18" s="167" t="n">
        <v>1327</v>
      </c>
      <c r="G18" s="132">
        <f>IFERROR(D18/F18,0)</f>
        <v/>
      </c>
      <c r="H18" s="133" t="n">
        <v>68</v>
      </c>
      <c r="I18" s="170">
        <f>IFERROR(H18/F18,0)</f>
        <v/>
      </c>
      <c r="J18" s="176">
        <f>SUM(H18+'3 June - 9 June'!H18+'10 June - 16 June'!H18+'17 June - 23 June'!H18+'24 June - 30 June'!H18)</f>
        <v/>
      </c>
      <c r="K18" s="173">
        <f>IFERROR(J18/SUM(F18),0)</f>
        <v/>
      </c>
      <c r="L18" s="134" t="n">
        <v>4308.95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40"/>
  <sheetViews>
    <sheetView zoomScale="78" workbookViewId="0">
      <selection activeCell="O8" sqref="O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6640625" bestFit="1" customWidth="1" min="12" max="12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81" t="n"/>
      <c r="M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81" t="n"/>
      <c r="M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402" t="inlineStr">
        <is>
          <t>Discounts</t>
        </is>
      </c>
      <c r="M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41">
        <f>SUM(L6:L18)</f>
        <v/>
      </c>
      <c r="M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71" t="n"/>
      <c r="M5" s="25" t="n"/>
    </row>
    <row r="6" ht="15.6" customHeight="1">
      <c r="A6" s="405" t="inlineStr">
        <is>
          <t>Irene Village</t>
        </is>
      </c>
      <c r="B6" s="157" t="n">
        <v>289905.35</v>
      </c>
      <c r="C6" s="123" t="n">
        <v>256768.79</v>
      </c>
      <c r="D6" s="144" t="n">
        <v>226514.71</v>
      </c>
      <c r="E6" s="162">
        <f>IFERROR((SUM(D6-C6)/C6),0)</f>
        <v/>
      </c>
      <c r="F6" s="165" t="n">
        <v>1703</v>
      </c>
      <c r="G6" s="124">
        <f>IFERROR(D6/F6,0)</f>
        <v/>
      </c>
      <c r="H6" s="125" t="n">
        <v>30</v>
      </c>
      <c r="I6" s="168">
        <f>IFERROR(H6/F6,0)</f>
        <v/>
      </c>
      <c r="J6" s="174">
        <f>SUM(H6+'3 June - 9 June'!H6+'10 June - 16 June'!H6+'17 June - 23 June'!H6+'24 June - 30 June'!H6+'1 July - 7 July'!H6)</f>
        <v/>
      </c>
      <c r="K6" s="171">
        <f>IFERROR(J6/SUM(F6),0)</f>
        <v/>
      </c>
      <c r="L6" s="129" t="n">
        <v>11902.95</v>
      </c>
      <c r="M6" s="26" t="n"/>
    </row>
    <row r="7" ht="15.6" customHeight="1">
      <c r="A7" s="406" t="inlineStr">
        <is>
          <t>Melrose Arch</t>
        </is>
      </c>
      <c r="B7" s="158" t="n">
        <v>262280.91</v>
      </c>
      <c r="C7" s="73" t="n">
        <v>210702.68</v>
      </c>
      <c r="D7" s="145" t="n">
        <v>204794.67</v>
      </c>
      <c r="E7" s="163">
        <f>IFERROR((SUM(D7-C7)/C7),0)</f>
        <v/>
      </c>
      <c r="F7" s="166" t="n">
        <v>1435</v>
      </c>
      <c r="G7" s="63">
        <f>IFERROR(D7/F7,0)</f>
        <v/>
      </c>
      <c r="H7" s="61" t="n">
        <v>14</v>
      </c>
      <c r="I7" s="169">
        <f>IFERROR(H7/F7,0)</f>
        <v/>
      </c>
      <c r="J7" s="175">
        <f>SUM(H7+'3 June - 9 June'!H7+'10 June - 16 June'!H7+'17 June - 23 June'!H7+'24 June - 30 June'!H7+'1 July - 7 July'!H7)</f>
        <v/>
      </c>
      <c r="K7" s="172">
        <f>IFERROR(J7/SUM(F7),0)</f>
        <v/>
      </c>
      <c r="L7" s="130" t="n">
        <v>12825.5</v>
      </c>
      <c r="M7" s="26" t="n"/>
    </row>
    <row r="8" ht="15.6" customHeight="1">
      <c r="A8" s="406" t="inlineStr">
        <is>
          <t>Melville</t>
        </is>
      </c>
      <c r="B8" s="158" t="n">
        <v>99818.07000000001</v>
      </c>
      <c r="C8" s="73" t="n">
        <v>89728.09</v>
      </c>
      <c r="D8" s="145" t="n">
        <v>95007.83</v>
      </c>
      <c r="E8" s="163">
        <f>IFERROR((SUM(D8-C8)/C8),0)</f>
        <v/>
      </c>
      <c r="F8" s="166" t="n">
        <v>673</v>
      </c>
      <c r="G8" s="63">
        <f>IFERROR(D8/F8,0)</f>
        <v/>
      </c>
      <c r="H8" s="61" t="n">
        <v>6</v>
      </c>
      <c r="I8" s="169">
        <f>IFERROR(H8/F8,0)</f>
        <v/>
      </c>
      <c r="J8" s="175">
        <f>SUM(H8+'3 June - 9 June'!H8+'10 June - 16 June'!H8+'17 June - 23 June'!H8+'24 June - 30 June'!H8+'1 July - 7 July'!H8)</f>
        <v/>
      </c>
      <c r="K8" s="172">
        <f>IFERROR(J8/SUM(F8),0)</f>
        <v/>
      </c>
      <c r="L8" s="130" t="n">
        <v>4324.5</v>
      </c>
      <c r="M8" s="26" t="n"/>
    </row>
    <row r="9" ht="15.6" customHeight="1">
      <c r="A9" s="406" t="inlineStr">
        <is>
          <t>Rosebank</t>
        </is>
      </c>
      <c r="B9" s="158" t="n">
        <v>285273.64</v>
      </c>
      <c r="C9" s="73" t="n">
        <v>301963.78</v>
      </c>
      <c r="D9" s="145" t="n">
        <v>279254.78</v>
      </c>
      <c r="E9" s="163">
        <f>IFERROR((SUM(D9-C9)/C9),0)</f>
        <v/>
      </c>
      <c r="F9" s="166" t="n">
        <v>2007</v>
      </c>
      <c r="G9" s="63">
        <f>IFERROR(D9/F9,0)</f>
        <v/>
      </c>
      <c r="H9" s="61" t="n">
        <v>13</v>
      </c>
      <c r="I9" s="169">
        <f>IFERROR(H9/F9,0)</f>
        <v/>
      </c>
      <c r="J9" s="175">
        <f>SUM(H9+'3 June - 9 June'!H9+'10 June - 16 June'!H9+'17 June - 23 June'!H9+'24 June - 30 June'!H9+'1 July - 7 July'!H9)</f>
        <v/>
      </c>
      <c r="K9" s="172">
        <f>IFERROR(J9/SUM(F9),0)</f>
        <v/>
      </c>
      <c r="L9" s="130" t="n">
        <v>12636.9</v>
      </c>
      <c r="M9" s="26" t="n"/>
    </row>
    <row r="10" ht="15.6" customHeight="1">
      <c r="A10" s="406" t="inlineStr">
        <is>
          <t xml:space="preserve">Waterkloof </t>
        </is>
      </c>
      <c r="B10" s="158" t="n">
        <v>151033.79</v>
      </c>
      <c r="C10" s="73" t="n">
        <v>146724.76</v>
      </c>
      <c r="D10" s="145" t="n">
        <v>131503.14</v>
      </c>
      <c r="E10" s="163">
        <f>IFERROR((SUM(D10-C10)/C10),0)</f>
        <v/>
      </c>
      <c r="F10" s="166" t="n">
        <v>860</v>
      </c>
      <c r="G10" s="63">
        <f>IFERROR(D10/F10,0)</f>
        <v/>
      </c>
      <c r="H10" s="61" t="n">
        <v>19</v>
      </c>
      <c r="I10" s="169">
        <f>IFERROR(H10/F10,0)</f>
        <v/>
      </c>
      <c r="J10" s="175">
        <f>SUM(H10+'3 June - 9 June'!H10+'10 June - 16 June'!H10+'17 June - 23 June'!H10+'24 June - 30 June'!H10+'1 July - 7 July'!H10)</f>
        <v/>
      </c>
      <c r="K10" s="172">
        <f>IFERROR(J10/SUM(F10),0)</f>
        <v/>
      </c>
      <c r="L10" s="130" t="n">
        <v>9157.59</v>
      </c>
      <c r="M10" s="26" t="n"/>
    </row>
    <row r="11" ht="15.6" customHeight="1">
      <c r="A11" s="406" t="inlineStr">
        <is>
          <t>Eagles Landing</t>
        </is>
      </c>
      <c r="B11" s="158" t="n">
        <v>388755.04</v>
      </c>
      <c r="C11" s="73" t="n">
        <v>280855.2</v>
      </c>
      <c r="D11" s="145" t="n">
        <v>326039.56</v>
      </c>
      <c r="E11" s="163">
        <f>IFERROR((SUM(D11-C11)/C11),0)</f>
        <v/>
      </c>
      <c r="F11" s="166" t="n">
        <v>2015</v>
      </c>
      <c r="G11" s="63">
        <f>IFERROR(D11/F11,0)</f>
        <v/>
      </c>
      <c r="H11" s="61" t="n">
        <v>30</v>
      </c>
      <c r="I11" s="169">
        <f>IFERROR(H11/F11,0)</f>
        <v/>
      </c>
      <c r="J11" s="175">
        <f>SUM(H11+'3 June - 9 June'!H11+'10 June - 16 June'!H11+'17 June - 23 June'!H11+'24 June - 30 June'!H11+'1 July - 7 July'!H11)</f>
        <v/>
      </c>
      <c r="K11" s="172">
        <f>IFERROR(J11/SUM(F11),0)</f>
        <v/>
      </c>
      <c r="L11" s="130" t="n">
        <v>21148.8</v>
      </c>
      <c r="M11" s="26" t="n"/>
    </row>
    <row r="12" ht="15.6" customHeight="1">
      <c r="A12" s="160" t="inlineStr">
        <is>
          <t>Stellenbosch</t>
        </is>
      </c>
      <c r="B12" s="158" t="n">
        <v>130753.32</v>
      </c>
      <c r="C12" s="73" t="n">
        <v>100133.45</v>
      </c>
      <c r="D12" s="145" t="n">
        <v>125918.89</v>
      </c>
      <c r="E12" s="163">
        <f>IFERROR((SUM(D12-C12)/C12),0)</f>
        <v/>
      </c>
      <c r="F12" s="166" t="n">
        <v>1087</v>
      </c>
      <c r="G12" s="63">
        <f>IFERROR(D12/F12,0)</f>
        <v/>
      </c>
      <c r="H12" s="61" t="n">
        <v>16</v>
      </c>
      <c r="I12" s="169">
        <f>IFERROR(H12/F12,0)</f>
        <v/>
      </c>
      <c r="J12" s="175">
        <f>SUM(H12+'3 June - 9 June'!H12+'10 June - 16 June'!H12+'17 June - 23 June'!H12+'24 June - 30 June'!H12+'1 July - 7 July'!H12)</f>
        <v/>
      </c>
      <c r="K12" s="172">
        <f>IFERROR(J12/SUM(F12),0)</f>
        <v/>
      </c>
      <c r="L12" s="130" t="n">
        <v>11731.9</v>
      </c>
      <c r="M12" s="26" t="n"/>
    </row>
    <row r="13" ht="15.6" customHeight="1">
      <c r="A13" s="160" t="inlineStr">
        <is>
          <t>Lynnwood</t>
        </is>
      </c>
      <c r="B13" s="158" t="n">
        <v>216356.41</v>
      </c>
      <c r="C13" s="73" t="n">
        <v>216088.13</v>
      </c>
      <c r="D13" s="145" t="n">
        <v>197895.08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31</v>
      </c>
      <c r="I13" s="169">
        <f>IFERROR(H13/F13,0)</f>
        <v/>
      </c>
      <c r="J13" s="175">
        <f>SUM(H13+'3 June - 9 June'!H13+'10 June - 16 June'!H13+'17 June - 23 June'!H13+'24 June - 30 June'!H13+'1 July - 7 July'!H13)</f>
        <v/>
      </c>
      <c r="K13" s="172">
        <f>IFERROR(J13/SUM(F13),0)</f>
        <v/>
      </c>
      <c r="L13" s="130" t="n">
        <v>13287.6</v>
      </c>
      <c r="M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60504.06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July'!H14)</f>
        <v/>
      </c>
      <c r="K14" s="172">
        <f>IFERROR(J14/SUM(F14),0)</f>
        <v/>
      </c>
      <c r="L14" s="130" t="n"/>
      <c r="M14" s="26" t="n"/>
    </row>
    <row r="15" ht="15.6" customHeight="1">
      <c r="A15" s="160" t="inlineStr">
        <is>
          <t>Hartenbos</t>
        </is>
      </c>
      <c r="B15" s="158" t="n">
        <v>216202.84</v>
      </c>
      <c r="C15" s="73" t="n">
        <v>177017.51</v>
      </c>
      <c r="D15" s="145" t="n">
        <v>157538.72</v>
      </c>
      <c r="E15" s="163">
        <f>IFERROR((SUM(D15-C15)/C15),0)</f>
        <v/>
      </c>
      <c r="F15" s="166" t="n">
        <v>1413</v>
      </c>
      <c r="G15" s="63">
        <f>IFERROR(D15/F15,0)</f>
        <v/>
      </c>
      <c r="H15" s="61" t="n">
        <v>51</v>
      </c>
      <c r="I15" s="169">
        <f>IFERROR(H15/F15,0)</f>
        <v/>
      </c>
      <c r="J15" s="175">
        <f>SUM(H15+'3 June - 9 June'!H15+'10 June - 16 June'!H15+'17 June - 23 June'!H15+'24 June - 30 June'!H15+'1 July - 7 July'!H15)</f>
        <v/>
      </c>
      <c r="K15" s="172">
        <f>IFERROR(J15/SUM(F15),0)</f>
        <v/>
      </c>
      <c r="L15" s="130" t="n">
        <v>9473.75</v>
      </c>
      <c r="M15" s="9" t="n"/>
    </row>
    <row r="16" ht="15.6" customHeight="1">
      <c r="A16" s="160" t="inlineStr">
        <is>
          <t>Kyalami Corner</t>
        </is>
      </c>
      <c r="B16" s="158" t="n">
        <v>133866.99</v>
      </c>
      <c r="C16" s="73" t="n">
        <v>111524.18</v>
      </c>
      <c r="D16" s="145" t="n">
        <v>107345.47</v>
      </c>
      <c r="E16" s="163">
        <f>IFERROR((SUM(D16-C16)/C16),0)</f>
        <v/>
      </c>
      <c r="F16" s="166" t="n">
        <v>760</v>
      </c>
      <c r="G16" s="63">
        <f>IFERROR(D16/F16,0)</f>
        <v/>
      </c>
      <c r="H16" s="61" t="n">
        <v>12</v>
      </c>
      <c r="I16" s="169">
        <f>IFERROR(H16/F16,0)</f>
        <v/>
      </c>
      <c r="J16" s="175">
        <f>SUM(H16+'3 June - 9 June'!H16+'10 June - 16 June'!H16+'17 June - 23 June'!H16+'24 June - 30 June'!H16+'1 July - 7 July'!H16)</f>
        <v/>
      </c>
      <c r="K16" s="172">
        <f>IFERROR(J16/SUM(F16),0)</f>
        <v/>
      </c>
      <c r="L16" s="130" t="n">
        <v>9650.299999999999</v>
      </c>
      <c r="M16" s="9" t="n"/>
    </row>
    <row r="17" ht="15.6" customHeight="1">
      <c r="A17" s="160" t="inlineStr">
        <is>
          <t>Paulshof</t>
        </is>
      </c>
      <c r="B17" s="158" t="n">
        <v>204115.87</v>
      </c>
      <c r="C17" s="73" t="n">
        <v>159725.26</v>
      </c>
      <c r="D17" s="145" t="n">
        <v>190547.85</v>
      </c>
      <c r="E17" s="163">
        <f>IFERROR((SUM(D17-C17)/C17),0)</f>
        <v/>
      </c>
      <c r="F17" s="166" t="n">
        <v>1286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July'!H17)</f>
        <v/>
      </c>
      <c r="K17" s="172">
        <f>IFERROR(J17/SUM(F17),0)</f>
        <v/>
      </c>
      <c r="L17" s="130" t="n">
        <v>12184.75</v>
      </c>
      <c r="M17" s="9" t="n"/>
    </row>
    <row r="18" ht="16.2" customHeight="1" thickBot="1">
      <c r="A18" s="161" t="inlineStr">
        <is>
          <t>Queenswood</t>
        </is>
      </c>
      <c r="B18" s="159" t="n">
        <v>171677.33</v>
      </c>
      <c r="C18" s="131" t="n"/>
      <c r="D18" s="146" t="n">
        <v>159732.85</v>
      </c>
      <c r="E18" s="164">
        <f>IFERROR((SUM(D18-C18)/C18),0)</f>
        <v/>
      </c>
      <c r="F18" s="167" t="n">
        <v>1239</v>
      </c>
      <c r="G18" s="132">
        <f>IFERROR(D18/F18,0)</f>
        <v/>
      </c>
      <c r="H18" s="133" t="n">
        <v>50</v>
      </c>
      <c r="I18" s="170">
        <f>IFERROR(H18/F18,0)</f>
        <v/>
      </c>
      <c r="J18" s="176">
        <f>SUM(H18+'3 June - 9 June'!H18+'10 June - 16 June'!H18+'17 June - 23 June'!H18+'24 June - 30 June'!H18+'1 July - 7 July'!H18)</f>
        <v/>
      </c>
      <c r="K18" s="173">
        <f>IFERROR(J18/SUM(F18),0)</f>
        <v/>
      </c>
      <c r="L18" s="134" t="n">
        <v>3771.05</v>
      </c>
      <c r="M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27" t="n"/>
      <c r="M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9" t="n"/>
    </row>
  </sheetData>
  <conditionalFormatting sqref="C6:L18">
    <cfRule type="cellIs" priority="1" operator="equal" dxfId="0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L15" sqref="L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1.332031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23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511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512" t="n"/>
      <c r="M5" s="122" t="n"/>
      <c r="N5" s="71" t="n"/>
      <c r="O5" s="25" t="n"/>
    </row>
    <row r="6" ht="15.6" customHeight="1">
      <c r="A6" s="405" t="inlineStr">
        <is>
          <t>Irene Village</t>
        </is>
      </c>
      <c r="B6" s="157" t="n">
        <v>226514.71</v>
      </c>
      <c r="C6" s="123" t="n">
        <v>217395.42</v>
      </c>
      <c r="D6" s="144" t="n">
        <v>246778</v>
      </c>
      <c r="E6" s="162">
        <f>IFERROR((SUM(D6-C6)/C6),0)</f>
        <v/>
      </c>
      <c r="F6" s="165" t="n">
        <v>1909</v>
      </c>
      <c r="G6" s="124">
        <f>IFERROR(D6/F6,0)</f>
        <v/>
      </c>
      <c r="H6" s="125" t="n">
        <v>38</v>
      </c>
      <c r="I6" s="168">
        <f>IFERROR(H6/F6,0)</f>
        <v/>
      </c>
      <c r="J6" s="174">
        <f>SUM(H6+'3 June - 9 June'!H6+'10 June - 16 June'!H6+'17 June - 23 June'!H6+'24 June - 30 June'!H6+'1 July - 7 July'!H6+'8 July - 14 July'!H6)</f>
        <v/>
      </c>
      <c r="K6" s="171">
        <f>IFERROR(J6/SUM(F6),0)</f>
        <v/>
      </c>
      <c r="L6" s="513" t="n">
        <v>34428.7</v>
      </c>
      <c r="M6" s="184">
        <f>SUM(L6/D6)</f>
        <v/>
      </c>
      <c r="N6" s="129" t="n">
        <v>15217</v>
      </c>
      <c r="O6" s="26" t="n"/>
    </row>
    <row r="7" ht="15.6" customHeight="1">
      <c r="A7" s="406" t="inlineStr">
        <is>
          <t>Melrose Arch</t>
        </is>
      </c>
      <c r="B7" s="158" t="n">
        <v>204794.67</v>
      </c>
      <c r="C7" s="73" t="n">
        <v>205685.39</v>
      </c>
      <c r="D7" s="145" t="n">
        <v>191381.89</v>
      </c>
      <c r="E7" s="163">
        <f>IFERROR((SUM(D7-C7)/C7),0)</f>
        <v/>
      </c>
      <c r="F7" s="166" t="n">
        <v>1589</v>
      </c>
      <c r="G7" s="63">
        <f>IFERROR(D7/F7,0)</f>
        <v/>
      </c>
      <c r="H7" s="61" t="n">
        <v>29</v>
      </c>
      <c r="I7" s="169">
        <f>IFERROR(H7/F7,0)</f>
        <v/>
      </c>
      <c r="J7" s="175">
        <f>SUM(H7+'3 June - 9 June'!H7+'10 June - 16 June'!H7+'17 June - 23 June'!H7+'24 June - 30 June'!H7+'1 July - 7 July'!H7+'8 July - 14 July'!H7)</f>
        <v/>
      </c>
      <c r="K7" s="172">
        <f>IFERROR(J7/SUM(F7),0)</f>
        <v/>
      </c>
      <c r="L7" s="514" t="n">
        <v>32370.43</v>
      </c>
      <c r="M7" s="183">
        <f>SUM(L7/D7)</f>
        <v/>
      </c>
      <c r="N7" s="130" t="n">
        <v>12628.4</v>
      </c>
      <c r="O7" s="26" t="n"/>
    </row>
    <row r="8" ht="15.6" customHeight="1">
      <c r="A8" s="406" t="inlineStr">
        <is>
          <t>Melville</t>
        </is>
      </c>
      <c r="B8" s="158" t="n">
        <v>95007.83</v>
      </c>
      <c r="C8" s="73" t="n">
        <v>86864.53</v>
      </c>
      <c r="D8" s="145" t="n">
        <v>97633.12</v>
      </c>
      <c r="E8" s="163">
        <f>IFERROR((SUM(D8-C8)/C8),0)</f>
        <v/>
      </c>
      <c r="F8" s="166" t="n">
        <v>692</v>
      </c>
      <c r="G8" s="63">
        <f>IFERROR(D8/F8,0)</f>
        <v/>
      </c>
      <c r="H8" s="61" t="n">
        <v>9</v>
      </c>
      <c r="I8" s="169">
        <f>IFERROR(H8/F8,0)</f>
        <v/>
      </c>
      <c r="J8" s="175">
        <f>SUM(H8+'3 June - 9 June'!H8+'10 June - 16 June'!H8+'17 June - 23 June'!H8+'24 June - 30 June'!H8+'1 July - 7 July'!H8+'8 July - 14 July'!H8)</f>
        <v/>
      </c>
      <c r="K8" s="172">
        <f>IFERROR(J8/SUM(F8),0)</f>
        <v/>
      </c>
      <c r="L8" s="514" t="n">
        <v>37288.62</v>
      </c>
      <c r="M8" s="183">
        <f>SUM(L8/D8)</f>
        <v/>
      </c>
      <c r="N8" s="130" t="n">
        <v>3662.5</v>
      </c>
      <c r="O8" s="26" t="n"/>
    </row>
    <row r="9" ht="15.6" customHeight="1">
      <c r="A9" s="406" t="inlineStr">
        <is>
          <t>Rosebank</t>
        </is>
      </c>
      <c r="B9" s="158" t="n">
        <v>279254.78</v>
      </c>
      <c r="C9" s="73" t="n">
        <v>313752.77</v>
      </c>
      <c r="D9" s="145" t="n">
        <v>304596.21</v>
      </c>
      <c r="E9" s="163">
        <f>IFERROR((SUM(D9-C9)/C9),0)</f>
        <v/>
      </c>
      <c r="F9" s="166" t="n">
        <v>2244</v>
      </c>
      <c r="G9" s="63">
        <f>IFERROR(D9/F9,0)</f>
        <v/>
      </c>
      <c r="H9" s="61" t="n">
        <v>31</v>
      </c>
      <c r="I9" s="169">
        <f>IFERROR(H9/F9,0)</f>
        <v/>
      </c>
      <c r="J9" s="175">
        <f>SUM(H9+'3 June - 9 June'!H9+'10 June - 16 June'!H9+'17 June - 23 June'!H9+'24 June - 30 June'!H9+'1 July - 7 July'!H9+'8 July - 14 July'!H9)</f>
        <v/>
      </c>
      <c r="K9" s="172">
        <f>IFERROR(J9/SUM(F9),0)</f>
        <v/>
      </c>
      <c r="L9" s="514" t="n">
        <v>24076.66</v>
      </c>
      <c r="M9" s="183">
        <f>SUM(L9/D9)</f>
        <v/>
      </c>
      <c r="N9" s="130" t="n">
        <v>11068</v>
      </c>
      <c r="O9" s="26" t="n"/>
    </row>
    <row r="10" ht="15.6" customHeight="1">
      <c r="A10" s="406" t="inlineStr">
        <is>
          <t xml:space="preserve">Waterkloof </t>
        </is>
      </c>
      <c r="B10" s="158" t="n">
        <v>131503.14</v>
      </c>
      <c r="C10" s="73" t="n">
        <v>137485.14</v>
      </c>
      <c r="D10" s="145" t="n">
        <v>142718.31</v>
      </c>
      <c r="E10" s="163">
        <f>IFERROR((SUM(D10-C10)/C10),0)</f>
        <v/>
      </c>
      <c r="F10" s="166" t="n">
        <v>956</v>
      </c>
      <c r="G10" s="63">
        <f>IFERROR(D10/F10,0)</f>
        <v/>
      </c>
      <c r="H10" s="61" t="n">
        <v>33</v>
      </c>
      <c r="I10" s="169">
        <f>IFERROR(H10/F10,0)</f>
        <v/>
      </c>
      <c r="J10" s="175">
        <f>SUM(H10+'3 June - 9 June'!H10+'10 June - 16 June'!H10+'17 June - 23 June'!H10+'24 June - 30 June'!H10+'1 July - 7 July'!H10+'8 July - 14 July'!H10)</f>
        <v/>
      </c>
      <c r="K10" s="172">
        <f>IFERROR(J10/SUM(F10),0)</f>
        <v/>
      </c>
      <c r="L10" s="514" t="n">
        <v>41346.08</v>
      </c>
      <c r="M10" s="183">
        <f>SUM(L10/D10)</f>
        <v/>
      </c>
      <c r="N10" s="130" t="n">
        <v>9662.35</v>
      </c>
      <c r="O10" s="26" t="n"/>
    </row>
    <row r="11" ht="15.6" customHeight="1">
      <c r="A11" s="406" t="inlineStr">
        <is>
          <t>Eagles Landing</t>
        </is>
      </c>
      <c r="B11" s="158" t="n">
        <v>326039.56</v>
      </c>
      <c r="C11" s="73" t="n">
        <v>334025.02</v>
      </c>
      <c r="D11" s="145" t="n">
        <v>312926.61</v>
      </c>
      <c r="E11" s="163">
        <f>IFERROR((SUM(D11-C11)/C11),0)</f>
        <v/>
      </c>
      <c r="F11" s="166" t="n">
        <v>2130</v>
      </c>
      <c r="G11" s="63">
        <f>IFERROR(D11/F11,0)</f>
        <v/>
      </c>
      <c r="H11" s="61" t="n">
        <v>34</v>
      </c>
      <c r="I11" s="169">
        <f>IFERROR(H11/F11,0)</f>
        <v/>
      </c>
      <c r="J11" s="175">
        <f>SUM(H11+'3 June - 9 June'!H11+'10 June - 16 June'!H11+'17 June - 23 June'!H11+'24 June - 30 June'!H11+'1 July - 7 July'!H11+'8 July - 14 July'!H11)</f>
        <v/>
      </c>
      <c r="K11" s="172">
        <f>IFERROR(J11/SUM(F11),0)</f>
        <v/>
      </c>
      <c r="L11" s="514" t="n">
        <v>43280</v>
      </c>
      <c r="M11" s="183">
        <f>SUM(L11/D11)</f>
        <v/>
      </c>
      <c r="N11" s="130" t="n">
        <v>20574</v>
      </c>
      <c r="O11" s="26" t="n"/>
    </row>
    <row r="12" ht="15.6" customHeight="1">
      <c r="A12" s="160" t="inlineStr">
        <is>
          <t>Stellenbosch</t>
        </is>
      </c>
      <c r="B12" s="158" t="n">
        <v>125918.89</v>
      </c>
      <c r="C12" s="73" t="n">
        <v>109291.87</v>
      </c>
      <c r="D12" s="145" t="n">
        <v>130704.49</v>
      </c>
      <c r="E12" s="163">
        <f>IFERROR((SUM(D12-C12)/C12),0)</f>
        <v/>
      </c>
      <c r="F12" s="166" t="n">
        <v>1061</v>
      </c>
      <c r="G12" s="63">
        <f>IFERROR(D12/F12,0)</f>
        <v/>
      </c>
      <c r="H12" s="61" t="n">
        <v>23</v>
      </c>
      <c r="I12" s="169">
        <f>IFERROR(H12/F12,0)</f>
        <v/>
      </c>
      <c r="J12" s="175">
        <f>SUM(H12+'3 June - 9 June'!H12+'10 June - 16 June'!H12+'17 June - 23 June'!H12+'24 June - 30 June'!H12+'1 July - 7 July'!H12+'8 July - 14 July'!H12)</f>
        <v/>
      </c>
      <c r="K12" s="172">
        <f>IFERROR(J12/SUM(F12),0)</f>
        <v/>
      </c>
      <c r="L12" s="514" t="n">
        <v>22276.04</v>
      </c>
      <c r="M12" s="183">
        <f>SUM(L12/D12)</f>
        <v/>
      </c>
      <c r="N12" s="130" t="n">
        <v>11629.05</v>
      </c>
      <c r="O12" s="26" t="n"/>
    </row>
    <row r="13" ht="15.6" customHeight="1">
      <c r="A13" s="160" t="inlineStr">
        <is>
          <t>Lynnwood</t>
        </is>
      </c>
      <c r="B13" s="158" t="n">
        <v>197895.08</v>
      </c>
      <c r="C13" s="73" t="n">
        <v>187408.16</v>
      </c>
      <c r="D13" s="145" t="n">
        <v>187064.58</v>
      </c>
      <c r="E13" s="163">
        <f>IFERROR((SUM(D13-C13)/C13),0)</f>
        <v/>
      </c>
      <c r="F13" s="166" t="n">
        <v>1404</v>
      </c>
      <c r="G13" s="63">
        <f>IFERROR(D13/F13,0)</f>
        <v/>
      </c>
      <c r="H13" s="61" t="n">
        <v>43</v>
      </c>
      <c r="I13" s="169">
        <f>IFERROR(H13/F13,0)</f>
        <v/>
      </c>
      <c r="J13" s="175">
        <f>SUM(H13+'3 June - 9 June'!H13+'10 June - 16 June'!H13+'17 June - 23 June'!H13+'24 June - 30 June'!H13+'1 July - 7 July'!H13+'8 July - 14 July'!H13)</f>
        <v/>
      </c>
      <c r="K13" s="172">
        <f>IFERROR(J13/SUM(F13),0)</f>
        <v/>
      </c>
      <c r="L13" s="514" t="n">
        <v>38065.33</v>
      </c>
      <c r="M13" s="183">
        <f>SUM(L13/D13)</f>
        <v/>
      </c>
      <c r="N13" s="130" t="n">
        <v>8351</v>
      </c>
      <c r="O13" s="26" t="n"/>
    </row>
    <row r="14" hidden="1" ht="15.6" customHeight="1">
      <c r="A14" s="160" t="inlineStr">
        <is>
          <t>Wellington</t>
        </is>
      </c>
      <c r="B14" s="158" t="n"/>
      <c r="C14" s="73" t="n">
        <v>68417.16</v>
      </c>
      <c r="D14" s="145" t="n">
        <v>0</v>
      </c>
      <c r="E14" s="163">
        <f>IFERROR((SUM(D14-C14)/C14),0)</f>
        <v/>
      </c>
      <c r="F14" s="166" t="n">
        <v>0</v>
      </c>
      <c r="G14" s="63">
        <f>IFERROR(D14/F14,0)</f>
        <v/>
      </c>
      <c r="H14" s="61" t="n"/>
      <c r="I14" s="169">
        <f>IFERROR(H14/F14,0)</f>
        <v/>
      </c>
      <c r="J14" s="175">
        <f>SUM(H14+'3 June - 9 June'!H14+'10 June - 16 June'!H14+'17 June - 23 June'!H14+'24 June - 30 June'!H14+'1 July - 7 July'!H14+'8 July - 14 July'!H14)</f>
        <v/>
      </c>
      <c r="K14" s="172">
        <f>IFERROR(J14/SUM(F14),0)</f>
        <v/>
      </c>
      <c r="L14" s="514" t="n">
        <v>0</v>
      </c>
      <c r="M14" s="183">
        <f>SUM(L14/D14)</f>
        <v/>
      </c>
      <c r="N14" s="130" t="n">
        <v>0</v>
      </c>
      <c r="O14" s="26" t="n"/>
    </row>
    <row r="15" ht="15.6" customHeight="1">
      <c r="A15" s="160" t="inlineStr">
        <is>
          <t>Hartenbos</t>
        </is>
      </c>
      <c r="B15" s="158" t="n">
        <v>157538.72</v>
      </c>
      <c r="C15" s="73" t="n">
        <v>131760.91</v>
      </c>
      <c r="D15" s="145" t="n">
        <v>151349.99</v>
      </c>
      <c r="E15" s="163">
        <f>IFERROR((SUM(D15-C15)/C15),0)</f>
        <v/>
      </c>
      <c r="F15" s="166" t="n">
        <v>1180</v>
      </c>
      <c r="G15" s="63">
        <f>IFERROR(D15/F15,0)</f>
        <v/>
      </c>
      <c r="H15" s="61" t="n">
        <v>31</v>
      </c>
      <c r="I15" s="169">
        <f>IFERROR(H15/F15,0)</f>
        <v/>
      </c>
      <c r="J15" s="175">
        <f>SUM(H15+'3 June - 9 June'!H15+'10 June - 16 June'!H15+'17 June - 23 June'!H15+'24 June - 30 June'!H15+'1 July - 7 July'!H15+'8 July - 14 July'!H15)</f>
        <v/>
      </c>
      <c r="K15" s="172">
        <f>IFERROR(J15/SUM(F15),0)</f>
        <v/>
      </c>
      <c r="L15" s="514" t="n">
        <v>7998.7</v>
      </c>
      <c r="M15" s="183">
        <f>SUM(L15/D15)</f>
        <v/>
      </c>
      <c r="N15" s="130" t="n">
        <v>5193.05</v>
      </c>
      <c r="O15" s="9" t="n"/>
    </row>
    <row r="16" ht="15.6" customHeight="1">
      <c r="A16" s="160" t="inlineStr">
        <is>
          <t>Kyalami Corner</t>
        </is>
      </c>
      <c r="B16" s="158" t="n">
        <v>107345.47</v>
      </c>
      <c r="C16" s="73" t="n">
        <v>100114.61</v>
      </c>
      <c r="D16" s="145" t="n">
        <v>115444.65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24</v>
      </c>
      <c r="I16" s="169">
        <f>IFERROR(H16/F16,0)</f>
        <v/>
      </c>
      <c r="J16" s="175">
        <f>SUM(H16+'3 June - 9 June'!H16+'10 June - 16 June'!H16+'17 June - 23 June'!H16+'24 June - 30 June'!H16+'1 July - 7 July'!H16+'8 July - 14 July'!H16)</f>
        <v/>
      </c>
      <c r="K16" s="172">
        <f>IFERROR(J16/SUM(F16),0)</f>
        <v/>
      </c>
      <c r="L16" s="514" t="n">
        <v>24246.08</v>
      </c>
      <c r="M16" s="183">
        <f>SUM(L16/D16)</f>
        <v/>
      </c>
      <c r="N16" s="130" t="n">
        <v>7956</v>
      </c>
      <c r="O16" s="9" t="n"/>
    </row>
    <row r="17" ht="15.6" customHeight="1">
      <c r="A17" s="160" t="inlineStr">
        <is>
          <t>Paulshof</t>
        </is>
      </c>
      <c r="B17" s="158" t="n">
        <v>190547.85</v>
      </c>
      <c r="C17" s="73" t="n">
        <v>160738.37</v>
      </c>
      <c r="D17" s="145" t="n">
        <v>188856.74</v>
      </c>
      <c r="E17" s="163">
        <f>IFERROR((SUM(D17-C17)/C17),0)</f>
        <v/>
      </c>
      <c r="F17" s="166" t="n">
        <v>1310</v>
      </c>
      <c r="G17" s="63">
        <f>IFERROR(D17/F17,0)</f>
        <v/>
      </c>
      <c r="H17" s="61" t="n">
        <v>25</v>
      </c>
      <c r="I17" s="169">
        <f>IFERROR(H17/F17,0)</f>
        <v/>
      </c>
      <c r="J17" s="175">
        <f>SUM(H17+'3 June - 9 June'!H17+'10 June - 16 June'!H17+'17 June - 23 June'!H17+'24 June - 30 June'!H17+'1 July - 7 July'!H17+'8 July - 14 July'!H17)</f>
        <v/>
      </c>
      <c r="K17" s="172">
        <f>IFERROR(J17/SUM(F17),0)</f>
        <v/>
      </c>
      <c r="L17" s="514" t="n">
        <v>36633</v>
      </c>
      <c r="M17" s="183">
        <f>SUM(L17/D17)</f>
        <v/>
      </c>
      <c r="N17" s="130" t="n">
        <v>10367.4</v>
      </c>
      <c r="O17" s="9" t="n"/>
    </row>
    <row r="18" ht="16.2" customHeight="1" thickBot="1">
      <c r="A18" s="161" t="inlineStr">
        <is>
          <t>Queenswood</t>
        </is>
      </c>
      <c r="B18" s="159" t="n">
        <v>159732.85</v>
      </c>
      <c r="C18" s="131" t="n"/>
      <c r="D18" s="146" t="n">
        <v>136175.84</v>
      </c>
      <c r="E18" s="164">
        <f>IFERROR((SUM(D18-C18)/C18),0)</f>
        <v/>
      </c>
      <c r="F18" s="167" t="n">
        <v>1054</v>
      </c>
      <c r="G18" s="132">
        <f>IFERROR(D18/F18,0)</f>
        <v/>
      </c>
      <c r="H18" s="133" t="n">
        <v>46</v>
      </c>
      <c r="I18" s="170">
        <f>IFERROR(H18/F18,0)</f>
        <v/>
      </c>
      <c r="J18" s="176">
        <f>SUM(H18+'3 June - 9 June'!H18+'10 June - 16 June'!H18+'17 June - 23 June'!H18+'24 June - 30 June'!H18+'1 July - 7 July'!H18+'8 July - 14 July'!H18)</f>
        <v/>
      </c>
      <c r="K18" s="173">
        <f>IFERROR(J18/SUM(F18),0)</f>
        <v/>
      </c>
      <c r="L18" s="515" t="n">
        <v>18403.45</v>
      </c>
      <c r="M18" s="185">
        <f>SUM(L18/D18)</f>
        <v/>
      </c>
      <c r="N18" s="134" t="n">
        <v>3707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57" t="n">
        <v>246778</v>
      </c>
      <c r="C6" s="123" t="n">
        <v>250543.24</v>
      </c>
      <c r="D6" s="190" t="n">
        <v>271945.84</v>
      </c>
      <c r="E6" s="162">
        <f>IFERROR((SUM(D6-C6)/C6),0)</f>
        <v/>
      </c>
      <c r="F6" s="165" t="n">
        <v>1977</v>
      </c>
      <c r="G6" s="124">
        <f>IFERROR(D6/F6,0)</f>
        <v/>
      </c>
      <c r="H6" s="125" t="n">
        <v>50</v>
      </c>
      <c r="I6" s="168">
        <f>IFERROR(H6/F6,0)</f>
        <v/>
      </c>
      <c r="J6" s="127">
        <f>SUM(H6+'3 June - 9 June'!H6+'10 June - 16 June'!H6+'17 June - 23 June'!H6+'24 June - 30 June'!H6+'1 July - 7 July'!H6+'8 July - 14 July'!H6+'15 July - 21 July'!H6)</f>
        <v/>
      </c>
      <c r="K6" s="171">
        <f>IFERROR(J6/SUM(F6),0)</f>
        <v/>
      </c>
      <c r="L6" s="191" t="n">
        <v>43855.8</v>
      </c>
      <c r="M6" s="128">
        <f>SUM(L6/D6)</f>
        <v/>
      </c>
      <c r="N6" s="129" t="n">
        <v>13486.35</v>
      </c>
      <c r="O6" s="26" t="n"/>
    </row>
    <row r="7" ht="15.6" customHeight="1">
      <c r="A7" s="406" t="inlineStr">
        <is>
          <t>Melrose Arch</t>
        </is>
      </c>
      <c r="B7" s="158" t="n">
        <v>191381.89</v>
      </c>
      <c r="C7" s="73" t="n">
        <v>181186.84</v>
      </c>
      <c r="D7" s="145" t="n">
        <v>260258.72</v>
      </c>
      <c r="E7" s="163">
        <f>IFERROR((SUM(D7-C7)/C7),0)</f>
        <v/>
      </c>
      <c r="F7" s="166" t="n">
        <v>1673</v>
      </c>
      <c r="G7" s="63">
        <f>IFERROR(D7/F7,0)</f>
        <v/>
      </c>
      <c r="H7" s="61" t="n">
        <v>9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July'!H7)</f>
        <v/>
      </c>
      <c r="K7" s="172">
        <f>IFERROR(J7/SUM(F7),0)</f>
        <v/>
      </c>
      <c r="L7" s="188" t="n">
        <v>36273.98</v>
      </c>
      <c r="M7" s="89">
        <f>SUM(L7/D7)</f>
        <v/>
      </c>
      <c r="N7" s="130" t="n">
        <v>10600.7</v>
      </c>
      <c r="O7" s="26" t="n"/>
    </row>
    <row r="8" ht="15.6" customHeight="1">
      <c r="A8" s="406" t="inlineStr">
        <is>
          <t>Melville</t>
        </is>
      </c>
      <c r="B8" s="158" t="n">
        <v>97633.12</v>
      </c>
      <c r="C8" s="73" t="n">
        <v>123620.4</v>
      </c>
      <c r="D8" s="145" t="n">
        <v>125957.48</v>
      </c>
      <c r="E8" s="163">
        <f>IFERROR((SUM(D8-C8)/C8),0)</f>
        <v/>
      </c>
      <c r="F8" s="166" t="n">
        <v>826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July'!H8)</f>
        <v/>
      </c>
      <c r="K8" s="172">
        <f>IFERROR(J8/SUM(F8),0)</f>
        <v/>
      </c>
      <c r="L8" s="188" t="n">
        <v>41637.07</v>
      </c>
      <c r="M8" s="89">
        <f>SUM(L8/D8)</f>
        <v/>
      </c>
      <c r="N8" s="130" t="n">
        <v>4635.67</v>
      </c>
      <c r="O8" s="26" t="n"/>
    </row>
    <row r="9" ht="15.6" customHeight="1">
      <c r="A9" s="406" t="inlineStr">
        <is>
          <t>Rosebank</t>
        </is>
      </c>
      <c r="B9" s="158" t="n">
        <v>304596.21</v>
      </c>
      <c r="C9" s="73" t="n">
        <v>337196.93</v>
      </c>
      <c r="D9" s="145" t="n">
        <v>342049.35</v>
      </c>
      <c r="E9" s="163">
        <f>IFERROR((SUM(D9-C9)/C9),0)</f>
        <v/>
      </c>
      <c r="F9" s="166" t="n">
        <v>2309</v>
      </c>
      <c r="G9" s="63">
        <f>IFERROR(D9/F9,0)</f>
        <v/>
      </c>
      <c r="H9" s="61" t="n">
        <v>37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July'!H9)</f>
        <v/>
      </c>
      <c r="K9" s="172">
        <f>IFERROR(J9/SUM(F9),0)</f>
        <v/>
      </c>
      <c r="L9" s="188" t="n">
        <v>30569.4</v>
      </c>
      <c r="M9" s="89">
        <f>SUM(L9/D9)</f>
        <v/>
      </c>
      <c r="N9" s="130" t="n">
        <v>14848.63</v>
      </c>
      <c r="O9" s="26" t="n"/>
    </row>
    <row r="10" ht="15.6" customHeight="1">
      <c r="A10" s="406" t="inlineStr">
        <is>
          <t xml:space="preserve">Waterkloof </t>
        </is>
      </c>
      <c r="B10" s="158" t="n">
        <v>142718.31</v>
      </c>
      <c r="C10" s="73" t="n">
        <v>159174.91</v>
      </c>
      <c r="D10" s="145" t="n">
        <v>164093.67</v>
      </c>
      <c r="E10" s="163">
        <f>IFERROR((SUM(D10-C10)/C10),0)</f>
        <v/>
      </c>
      <c r="F10" s="166" t="n">
        <v>1047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July'!H10)</f>
        <v/>
      </c>
      <c r="K10" s="172">
        <f>IFERROR(J10/SUM(F10),0)</f>
        <v/>
      </c>
      <c r="L10" s="188" t="n">
        <v>10071.9</v>
      </c>
      <c r="M10" s="89">
        <f>SUM(L10/D10)</f>
        <v/>
      </c>
      <c r="N10" s="130" t="n">
        <v>9092.950000000001</v>
      </c>
      <c r="O10" s="26" t="n"/>
    </row>
    <row r="11" ht="15.6" customHeight="1">
      <c r="A11" s="406" t="inlineStr">
        <is>
          <t>Eagles Landing</t>
        </is>
      </c>
      <c r="B11" s="158" t="n">
        <v>312926.61</v>
      </c>
      <c r="C11" s="73" t="n">
        <v>358331.75</v>
      </c>
      <c r="D11" s="145" t="n">
        <v>353967.18</v>
      </c>
      <c r="E11" s="163">
        <f>IFERROR((SUM(D11-C11)/C11),0)</f>
        <v/>
      </c>
      <c r="F11" s="166" t="n">
        <v>2450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July'!H11)</f>
        <v/>
      </c>
      <c r="K11" s="172">
        <f>IFERROR(J11/SUM(F11),0)</f>
        <v/>
      </c>
      <c r="L11" s="188" t="n">
        <v>51399.44</v>
      </c>
      <c r="M11" s="89">
        <f>SUM(L11/D11)</f>
        <v/>
      </c>
      <c r="N11" s="130" t="n">
        <v>19742.8</v>
      </c>
      <c r="O11" s="26" t="n"/>
    </row>
    <row r="12" ht="15.6" customHeight="1">
      <c r="A12" s="160" t="inlineStr">
        <is>
          <t>Stellenbosch</t>
        </is>
      </c>
      <c r="B12" s="158" t="n">
        <v>130704.49</v>
      </c>
      <c r="C12" s="73" t="n">
        <v>115750.62</v>
      </c>
      <c r="D12" s="145" t="n">
        <v>130324.87</v>
      </c>
      <c r="E12" s="163">
        <f>IFERROR((SUM(D12-C12)/C12),0)</f>
        <v/>
      </c>
      <c r="F12" s="166" t="n">
        <v>1017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July'!H12)</f>
        <v/>
      </c>
      <c r="K12" s="172">
        <f>IFERROR(J12/SUM(F12),0)</f>
        <v/>
      </c>
      <c r="L12" s="188" t="n">
        <v>20853.5</v>
      </c>
      <c r="M12" s="89">
        <f>SUM(L12/D12)</f>
        <v/>
      </c>
      <c r="N12" s="130" t="n">
        <v>12418.15</v>
      </c>
      <c r="O12" s="26" t="n"/>
    </row>
    <row r="13" ht="15.6" customHeight="1">
      <c r="A13" s="160" t="inlineStr">
        <is>
          <t>Lynnwood</t>
        </is>
      </c>
      <c r="B13" s="158" t="n">
        <v>187064.58</v>
      </c>
      <c r="C13" s="73" t="n">
        <v>194552.15</v>
      </c>
      <c r="D13" s="145" t="n">
        <v>212060.52</v>
      </c>
      <c r="E13" s="163">
        <f>IFERROR((SUM(D13-C13)/C13),0)</f>
        <v/>
      </c>
      <c r="F13" s="166" t="n">
        <v>1553</v>
      </c>
      <c r="G13" s="63">
        <f>IFERROR(D13/F13,0)</f>
        <v/>
      </c>
      <c r="H13" s="61" t="n">
        <v>51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July'!H13)</f>
        <v/>
      </c>
      <c r="K13" s="172">
        <f>IFERROR(J13/SUM(F13),0)</f>
        <v/>
      </c>
      <c r="L13" s="188" t="n">
        <v>37808.76</v>
      </c>
      <c r="M13" s="89">
        <f>SUM(L13/D13)</f>
        <v/>
      </c>
      <c r="N13" s="130" t="n">
        <v>11599.4</v>
      </c>
      <c r="O13" s="26" t="n"/>
    </row>
    <row r="14" hidden="1" ht="15.6" customHeight="1">
      <c r="A14" s="160" t="inlineStr">
        <is>
          <t>Wellington</t>
        </is>
      </c>
      <c r="B14" s="158" t="n">
        <v>0</v>
      </c>
      <c r="C14" s="73" t="n">
        <v>66720.10000000001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58" t="n">
        <v>151349.99</v>
      </c>
      <c r="C15" s="73" t="n">
        <v>125329.08</v>
      </c>
      <c r="D15" s="145" t="n">
        <v>129536.18</v>
      </c>
      <c r="E15" s="163">
        <f>IFERROR((SUM(D15-C15)/C15),0)</f>
        <v/>
      </c>
      <c r="F15" s="166" t="n">
        <v>1275</v>
      </c>
      <c r="G15" s="63">
        <f>IFERROR(D15/F15,0)</f>
        <v/>
      </c>
      <c r="H15" s="61" t="n">
        <v>37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July'!H15)</f>
        <v/>
      </c>
      <c r="K15" s="172">
        <f>IFERROR(J15/SUM(F15),0)</f>
        <v/>
      </c>
      <c r="L15" s="188" t="n">
        <v>8924.780000000001</v>
      </c>
      <c r="M15" s="89">
        <f>SUM(L15/D15)</f>
        <v/>
      </c>
      <c r="N15" s="130" t="n">
        <v>6136.71</v>
      </c>
      <c r="O15" s="9" t="n"/>
    </row>
    <row r="16" ht="15.6" customHeight="1">
      <c r="A16" s="160" t="inlineStr">
        <is>
          <t>Kyalami Corner</t>
        </is>
      </c>
      <c r="B16" s="158" t="n">
        <v>115444.65</v>
      </c>
      <c r="C16" s="73" t="n">
        <v>112551.33</v>
      </c>
      <c r="D16" s="145" t="n">
        <v>113373.11</v>
      </c>
      <c r="E16" s="163">
        <f>IFERROR((SUM(D16-C16)/C16),0)</f>
        <v/>
      </c>
      <c r="F16" s="166" t="n">
        <v>763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July'!H16)</f>
        <v/>
      </c>
      <c r="K16" s="172">
        <f>IFERROR(J16/SUM(F16),0)</f>
        <v/>
      </c>
      <c r="L16" s="188" t="n">
        <v>23429.09</v>
      </c>
      <c r="M16" s="89">
        <f>SUM(L16/D16)</f>
        <v/>
      </c>
      <c r="N16" s="130" t="n">
        <v>6022.1</v>
      </c>
      <c r="O16" s="9" t="n"/>
    </row>
    <row r="17" ht="15.6" customHeight="1">
      <c r="A17" s="160" t="inlineStr">
        <is>
          <t>Paulshof</t>
        </is>
      </c>
      <c r="B17" s="158" t="n">
        <v>188856.74</v>
      </c>
      <c r="C17" s="73" t="n">
        <v>185885.17</v>
      </c>
      <c r="D17" s="145" t="n">
        <v>198530.03</v>
      </c>
      <c r="E17" s="163">
        <f>IFERROR((SUM(D17-C17)/C17),0)</f>
        <v/>
      </c>
      <c r="F17" s="166" t="n">
        <v>1251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July'!H17)</f>
        <v/>
      </c>
      <c r="K17" s="172">
        <f>IFERROR(J17/SUM(F17),0)</f>
        <v/>
      </c>
      <c r="L17" s="188" t="n">
        <v>40693.43</v>
      </c>
      <c r="M17" s="89">
        <f>SUM(L17/D17)</f>
        <v/>
      </c>
      <c r="N17" s="130" t="n">
        <v>11485.93</v>
      </c>
      <c r="O17" s="9" t="n"/>
    </row>
    <row r="18" ht="16.2" customHeight="1" thickBot="1">
      <c r="A18" s="161" t="inlineStr">
        <is>
          <t>Queenswood</t>
        </is>
      </c>
      <c r="B18" s="159" t="n">
        <v>136175.84</v>
      </c>
      <c r="C18" s="131" t="n"/>
      <c r="D18" s="146" t="n">
        <v>162511.62</v>
      </c>
      <c r="E18" s="164">
        <f>IFERROR((SUM(D18-C18)/C18),0)</f>
        <v/>
      </c>
      <c r="F18" s="167" t="n">
        <v>1229</v>
      </c>
      <c r="G18" s="132">
        <f>IFERROR(D18/F18,0)</f>
        <v/>
      </c>
      <c r="H18" s="133" t="n">
        <v>28</v>
      </c>
      <c r="I18" s="170">
        <f>IFERROR(H18/F18,0)</f>
        <v/>
      </c>
      <c r="J18" s="192">
        <f>SUM(H18+'3 June - 9 June'!H18+'10 June - 16 June'!H18+'17 June - 23 June'!H18+'24 June - 30 June'!H18+'1 July - 7 July'!H18+'8 July - 14 July'!H18+'15 July - 21 July'!H18)</f>
        <v/>
      </c>
      <c r="K18" s="173">
        <f>IFERROR(J18/SUM(F18),0)</f>
        <v/>
      </c>
      <c r="L18" s="189" t="n">
        <v>25280.63</v>
      </c>
      <c r="M18" s="116">
        <f>SUM(L18/D18)</f>
        <v/>
      </c>
      <c r="N18" s="134" t="n">
        <v>3256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 C7:D17 C18:N18 E6:E17 F6:K6 F7:N17 M6:N6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selection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271945.84</v>
      </c>
      <c r="C6" s="123" t="n">
        <v>233832.48</v>
      </c>
      <c r="D6" s="190" t="n">
        <v>261957.32</v>
      </c>
      <c r="E6" s="162">
        <f>IFERROR((SUM(D6-C6)/C6),0)</f>
        <v/>
      </c>
      <c r="F6" s="165" t="n">
        <v>1945</v>
      </c>
      <c r="G6" s="124">
        <f>IFERROR(D6/F6,0)</f>
        <v/>
      </c>
      <c r="H6" s="125" t="n">
        <v>14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July'!H6)</f>
        <v/>
      </c>
      <c r="K6" s="171">
        <f>IFERROR(J6/SUM(F6),0)</f>
        <v/>
      </c>
      <c r="L6" s="191" t="n">
        <v>36628.61</v>
      </c>
      <c r="M6" s="128">
        <f>SUM(L6/D6)</f>
        <v/>
      </c>
      <c r="N6" s="129" t="n">
        <v>11634.1</v>
      </c>
      <c r="O6" s="26" t="n"/>
    </row>
    <row r="7" ht="15.6" customHeight="1">
      <c r="A7" s="406" t="inlineStr">
        <is>
          <t>Melrose Arch</t>
        </is>
      </c>
      <c r="B7" s="194" t="n">
        <v>260258.72</v>
      </c>
      <c r="C7" s="73" t="n">
        <v>172949.61</v>
      </c>
      <c r="D7" s="145" t="n">
        <v>212110.67</v>
      </c>
      <c r="E7" s="163">
        <f>IFERROR((SUM(D7-C7)/C7),0)</f>
        <v/>
      </c>
      <c r="F7" s="166" t="n">
        <v>1515</v>
      </c>
      <c r="G7" s="63">
        <f>IFERROR(D7/F7,0)</f>
        <v/>
      </c>
      <c r="H7" s="61" t="n">
        <v>6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July'!H7)</f>
        <v/>
      </c>
      <c r="K7" s="172">
        <f>IFERROR(J7/SUM(F7),0)</f>
        <v/>
      </c>
      <c r="L7" s="188" t="n">
        <v>33885.26</v>
      </c>
      <c r="M7" s="89">
        <f>SUM(L7/D7)</f>
        <v/>
      </c>
      <c r="N7" s="130" t="n">
        <v>21002</v>
      </c>
      <c r="O7" s="26" t="n"/>
    </row>
    <row r="8" ht="15.6" customHeight="1">
      <c r="A8" s="406" t="inlineStr">
        <is>
          <t>Melville</t>
        </is>
      </c>
      <c r="B8" s="194" t="n">
        <v>125957.48</v>
      </c>
      <c r="C8" s="73" t="n">
        <v>111199.51</v>
      </c>
      <c r="D8" s="145" t="n">
        <v>132507.6</v>
      </c>
      <c r="E8" s="163">
        <f>IFERROR((SUM(D8-C8)/C8),0)</f>
        <v/>
      </c>
      <c r="F8" s="166" t="n">
        <v>889</v>
      </c>
      <c r="G8" s="63">
        <f>IFERROR(D8/F8,0)</f>
        <v/>
      </c>
      <c r="H8" s="61" t="n">
        <v>6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July'!H8)</f>
        <v/>
      </c>
      <c r="K8" s="172">
        <f>IFERROR(J8/SUM(F8),0)</f>
        <v/>
      </c>
      <c r="L8" s="188" t="n">
        <v>45809.33</v>
      </c>
      <c r="M8" s="89">
        <f>SUM(L8/D8)</f>
        <v/>
      </c>
      <c r="N8" s="130" t="n">
        <v>2846.5</v>
      </c>
      <c r="O8" s="26" t="n"/>
    </row>
    <row r="9" ht="15.6" customHeight="1">
      <c r="A9" s="406" t="inlineStr">
        <is>
          <t>Rosebank</t>
        </is>
      </c>
      <c r="B9" s="194" t="n">
        <v>342049.35</v>
      </c>
      <c r="C9" s="73" t="n">
        <v>385919.95</v>
      </c>
      <c r="D9" s="145" t="n">
        <v>347205.66</v>
      </c>
      <c r="E9" s="163">
        <f>IFERROR((SUM(D9-C9)/C9),0)</f>
        <v/>
      </c>
      <c r="F9" s="166" t="n">
        <v>2421</v>
      </c>
      <c r="G9" s="63">
        <f>IFERROR(D9/F9,0)</f>
        <v/>
      </c>
      <c r="H9" s="61" t="n">
        <v>47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July'!H9)</f>
        <v/>
      </c>
      <c r="K9" s="172">
        <f>IFERROR(J9/SUM(F9),0)</f>
        <v/>
      </c>
      <c r="L9" s="188" t="n">
        <v>25077.78</v>
      </c>
      <c r="M9" s="89">
        <f>SUM(L9/D9)</f>
        <v/>
      </c>
      <c r="N9" s="130" t="n">
        <v>12870.1</v>
      </c>
      <c r="O9" s="26" t="n"/>
    </row>
    <row r="10" ht="15.6" customHeight="1">
      <c r="A10" s="406" t="inlineStr">
        <is>
          <t xml:space="preserve">Waterkloof </t>
        </is>
      </c>
      <c r="B10" s="194" t="n">
        <v>164093.67</v>
      </c>
      <c r="C10" s="73" t="n">
        <v>172402.92</v>
      </c>
      <c r="D10" s="145" t="n">
        <v>139006.44</v>
      </c>
      <c r="E10" s="163">
        <f>IFERROR((SUM(D10-C10)/C10),0)</f>
        <v/>
      </c>
      <c r="F10" s="166" t="n">
        <v>1001</v>
      </c>
      <c r="G10" s="63">
        <f>IFERROR(D10/F10,0)</f>
        <v/>
      </c>
      <c r="H10" s="61" t="n">
        <v>15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July'!H10)</f>
        <v/>
      </c>
      <c r="K10" s="172">
        <f>IFERROR(J10/SUM(F10),0)</f>
        <v/>
      </c>
      <c r="L10" s="188" t="n">
        <v>36829.39</v>
      </c>
      <c r="M10" s="89">
        <f>SUM(L10/D10)</f>
        <v/>
      </c>
      <c r="N10" s="130" t="n">
        <v>7249.7</v>
      </c>
      <c r="O10" s="26" t="n"/>
    </row>
    <row r="11" ht="15.6" customHeight="1">
      <c r="A11" s="406" t="inlineStr">
        <is>
          <t>Eagles Landing</t>
        </is>
      </c>
      <c r="B11" s="194" t="n">
        <v>353967.18</v>
      </c>
      <c r="C11" s="73" t="n">
        <v>302155.05</v>
      </c>
      <c r="D11" s="145" t="n">
        <v>363089.93</v>
      </c>
      <c r="E11" s="163">
        <f>IFERROR((SUM(D11-C11)/C11),0)</f>
        <v/>
      </c>
      <c r="F11" s="166" t="n">
        <v>2397</v>
      </c>
      <c r="G11" s="63">
        <f>IFERROR(D11/F11,0)</f>
        <v/>
      </c>
      <c r="H11" s="61" t="n">
        <v>40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July'!H11)</f>
        <v/>
      </c>
      <c r="K11" s="172">
        <f>IFERROR(J11/SUM(F11),0)</f>
        <v/>
      </c>
      <c r="L11" s="188" t="n">
        <v>48850.87</v>
      </c>
      <c r="M11" s="89">
        <f>SUM(L11/D11)</f>
        <v/>
      </c>
      <c r="N11" s="130" t="n">
        <v>19121.8</v>
      </c>
      <c r="O11" s="26" t="n"/>
    </row>
    <row r="12" ht="15.6" customHeight="1">
      <c r="A12" s="160" t="inlineStr">
        <is>
          <t>Stellenbosch</t>
        </is>
      </c>
      <c r="B12" s="194" t="n">
        <v>130324.87</v>
      </c>
      <c r="C12" s="73" t="n">
        <v>115565.63</v>
      </c>
      <c r="D12" s="145" t="n">
        <v>157461.4</v>
      </c>
      <c r="E12" s="163">
        <f>IFERROR((SUM(D12-C12)/C12),0)</f>
        <v/>
      </c>
      <c r="F12" s="166" t="n">
        <v>1400</v>
      </c>
      <c r="G12" s="63">
        <f>IFERROR(D12/F12,0)</f>
        <v/>
      </c>
      <c r="H12" s="61" t="n">
        <v>42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July'!H12)</f>
        <v/>
      </c>
      <c r="K12" s="172">
        <f>IFERROR(J12/SUM(F12),0)</f>
        <v/>
      </c>
      <c r="L12" s="188" t="n">
        <v>21128.37</v>
      </c>
      <c r="M12" s="89">
        <f>SUM(L12/D12)</f>
        <v/>
      </c>
      <c r="N12" s="130" t="n">
        <v>17195.75</v>
      </c>
      <c r="O12" s="26" t="n"/>
    </row>
    <row r="13" ht="15.6" customHeight="1">
      <c r="A13" s="160" t="inlineStr">
        <is>
          <t>Lynnwood</t>
        </is>
      </c>
      <c r="B13" s="194" t="n">
        <v>212060.52</v>
      </c>
      <c r="C13" s="73" t="n">
        <v>205902.87</v>
      </c>
      <c r="D13" s="145" t="n">
        <v>216093.02</v>
      </c>
      <c r="E13" s="163">
        <f>IFERROR((SUM(D13-C13)/C13),0)</f>
        <v/>
      </c>
      <c r="F13" s="166" t="n">
        <v>1513</v>
      </c>
      <c r="G13" s="63">
        <f>IFERROR(D13/F13,0)</f>
        <v/>
      </c>
      <c r="H13" s="61" t="n">
        <v>44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July'!H13)</f>
        <v/>
      </c>
      <c r="K13" s="172">
        <f>IFERROR(J13/SUM(F13),0)</f>
        <v/>
      </c>
      <c r="L13" s="188" t="n">
        <v>37495.99</v>
      </c>
      <c r="M13" s="89">
        <f>SUM(L13/D13)</f>
        <v/>
      </c>
      <c r="N13" s="130" t="n">
        <v>9302.27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63695.61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129536.18</v>
      </c>
      <c r="C15" s="73" t="n">
        <v>125489.25</v>
      </c>
      <c r="D15" s="145" t="n">
        <v>138311.25</v>
      </c>
      <c r="E15" s="163">
        <f>IFERROR((SUM(D15-C15)/C15),0)</f>
        <v/>
      </c>
      <c r="F15" s="166" t="n">
        <v>1142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July'!H15)</f>
        <v/>
      </c>
      <c r="K15" s="172">
        <f>IFERROR(J15/SUM(F15),0)</f>
        <v/>
      </c>
      <c r="L15" s="188" t="n">
        <v>9080</v>
      </c>
      <c r="M15" s="89">
        <f>SUM(L15/D15)</f>
        <v/>
      </c>
      <c r="N15" s="130" t="n">
        <v>4852.1</v>
      </c>
      <c r="O15" s="9" t="n"/>
    </row>
    <row r="16" ht="15.6" customHeight="1">
      <c r="A16" s="160" t="inlineStr">
        <is>
          <t>Kyalami Corner</t>
        </is>
      </c>
      <c r="B16" s="194" t="n">
        <v>113373.11</v>
      </c>
      <c r="C16" s="73" t="n">
        <v>115125.41</v>
      </c>
      <c r="D16" s="145" t="n">
        <v>126564.93</v>
      </c>
      <c r="E16" s="163">
        <f>IFERROR((SUM(D16-C16)/C16),0)</f>
        <v/>
      </c>
      <c r="F16" s="166" t="n">
        <v>826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July'!H16)</f>
        <v/>
      </c>
      <c r="K16" s="172">
        <f>IFERROR(J16/SUM(F16),0)</f>
        <v/>
      </c>
      <c r="L16" s="188" t="n">
        <v>24742</v>
      </c>
      <c r="M16" s="89">
        <f>SUM(L16/D16)</f>
        <v/>
      </c>
      <c r="N16" s="130" t="n">
        <v>8426.9</v>
      </c>
      <c r="O16" s="9" t="n"/>
    </row>
    <row r="17" ht="15.6" customHeight="1">
      <c r="A17" s="160" t="inlineStr">
        <is>
          <t>Paulshof</t>
        </is>
      </c>
      <c r="B17" s="194" t="n">
        <v>198530.03</v>
      </c>
      <c r="C17" s="73" t="n">
        <v>197995.06</v>
      </c>
      <c r="D17" s="145" t="n">
        <v>214731.95</v>
      </c>
      <c r="E17" s="163">
        <f>IFERROR((SUM(D17-C17)/C17),0)</f>
        <v/>
      </c>
      <c r="F17" s="166" t="n">
        <v>1357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July'!H17)</f>
        <v/>
      </c>
      <c r="K17" s="172">
        <f>IFERROR(J17/SUM(F17),0)</f>
        <v/>
      </c>
      <c r="L17" s="188" t="n">
        <v>39112.3</v>
      </c>
      <c r="M17" s="89">
        <f>SUM(L17/D17)</f>
        <v/>
      </c>
      <c r="N17" s="130" t="n">
        <v>11199.21</v>
      </c>
      <c r="O17" s="9" t="n"/>
    </row>
    <row r="18" ht="16.2" customHeight="1" thickBot="1">
      <c r="A18" s="161" t="inlineStr">
        <is>
          <t>Queenswood</t>
        </is>
      </c>
      <c r="B18" s="195" t="n">
        <v>162511.62</v>
      </c>
      <c r="C18" s="131" t="n"/>
      <c r="D18" s="146" t="n">
        <v>162603.09</v>
      </c>
      <c r="E18" s="164">
        <f>IFERROR((SUM(D18-C18)/C18),0)</f>
        <v/>
      </c>
      <c r="F18" s="167" t="n">
        <v>1273</v>
      </c>
      <c r="G18" s="132">
        <f>IFERROR(D18/F18,0)</f>
        <v/>
      </c>
      <c r="H18" s="133" t="n">
        <v>53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July'!H18)</f>
        <v/>
      </c>
      <c r="K18" s="173">
        <f>IFERROR(J18/SUM(F18),0)</f>
        <v/>
      </c>
      <c r="L18" s="189" t="n">
        <v>24766.4</v>
      </c>
      <c r="M18" s="116">
        <f>SUM(L18/D18)</f>
        <v/>
      </c>
      <c r="N18" s="134" t="n">
        <v>4052.75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3" t="n">
        <v>261957.32</v>
      </c>
      <c r="C6" s="123" t="n">
        <v>282687.6</v>
      </c>
      <c r="D6" s="190" t="n">
        <v>267972.63</v>
      </c>
      <c r="E6" s="162">
        <f>IFERROR((SUM(D6-C6)/C6),0)</f>
        <v/>
      </c>
      <c r="F6" s="165" t="n">
        <v>2124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August'!H6)</f>
        <v/>
      </c>
      <c r="K6" s="171">
        <f>IFERROR(J6/SUM(F6),0)</f>
        <v/>
      </c>
      <c r="L6" s="191" t="n">
        <v>31373.7</v>
      </c>
      <c r="M6" s="128">
        <f>SUM(L6/D6)</f>
        <v/>
      </c>
      <c r="N6" s="129" t="n">
        <v>13615.15</v>
      </c>
      <c r="O6" s="26" t="n"/>
    </row>
    <row r="7" ht="15.6" customHeight="1">
      <c r="A7" s="406" t="inlineStr">
        <is>
          <t>Melrose Arch</t>
        </is>
      </c>
      <c r="B7" s="194" t="n">
        <v>212110.67</v>
      </c>
      <c r="C7" s="73" t="n">
        <v>163472.63</v>
      </c>
      <c r="D7" s="145" t="n">
        <v>215626.05</v>
      </c>
      <c r="E7" s="163">
        <f>IFERROR((SUM(D7-C7)/C7),0)</f>
        <v/>
      </c>
      <c r="F7" s="166" t="n">
        <v>1449</v>
      </c>
      <c r="G7" s="63">
        <f>IFERROR(D7/F7,0)</f>
        <v/>
      </c>
      <c r="H7" s="61" t="n">
        <v>12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August'!H7)</f>
        <v/>
      </c>
      <c r="K7" s="172">
        <f>IFERROR(J7/SUM(F7),0)</f>
        <v/>
      </c>
      <c r="L7" s="188" t="n">
        <v>28718.56</v>
      </c>
      <c r="M7" s="89">
        <f>SUM(L7/D7)</f>
        <v/>
      </c>
      <c r="N7" s="130" t="n">
        <v>13029.85</v>
      </c>
      <c r="O7" s="26" t="n"/>
    </row>
    <row r="8" ht="15.6" customHeight="1">
      <c r="A8" s="406" t="inlineStr">
        <is>
          <t>Melville</t>
        </is>
      </c>
      <c r="B8" s="194" t="n">
        <v>132507.6</v>
      </c>
      <c r="C8" s="73" t="n">
        <v>129516.34</v>
      </c>
      <c r="D8" s="145" t="n">
        <v>103484.13</v>
      </c>
      <c r="E8" s="163">
        <f>IFERROR((SUM(D8-C8)/C8),0)</f>
        <v/>
      </c>
      <c r="F8" s="166" t="n">
        <v>706</v>
      </c>
      <c r="G8" s="63">
        <f>IFERROR(D8/F8,0)</f>
        <v/>
      </c>
      <c r="H8" s="61" t="n">
        <v>10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August'!H8)</f>
        <v/>
      </c>
      <c r="K8" s="172">
        <f>IFERROR(J8/SUM(F8),0)</f>
        <v/>
      </c>
      <c r="L8" s="188" t="n">
        <v>34803.1</v>
      </c>
      <c r="M8" s="89">
        <f>SUM(L8/D8)</f>
        <v/>
      </c>
      <c r="N8" s="130" t="n">
        <v>2885.5</v>
      </c>
      <c r="O8" s="26" t="n"/>
    </row>
    <row r="9" ht="15.6" customHeight="1">
      <c r="A9" s="406" t="inlineStr">
        <is>
          <t>Rosebank</t>
        </is>
      </c>
      <c r="B9" s="194" t="n">
        <v>347205.66</v>
      </c>
      <c r="C9" s="73" t="n">
        <v>274334.31</v>
      </c>
      <c r="D9" s="145" t="n">
        <v>317143.52</v>
      </c>
      <c r="E9" s="163">
        <f>IFERROR((SUM(D9-C9)/C9),0)</f>
        <v/>
      </c>
      <c r="F9" s="166" t="n">
        <v>2266</v>
      </c>
      <c r="G9" s="63">
        <f>IFERROR(D9/F9,0)</f>
        <v/>
      </c>
      <c r="H9" s="61" t="n">
        <v>27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August'!H9)</f>
        <v/>
      </c>
      <c r="K9" s="172">
        <f>IFERROR(J9/SUM(F9),0)</f>
        <v/>
      </c>
      <c r="L9" s="188" t="n">
        <v>21568.9</v>
      </c>
      <c r="M9" s="89">
        <f>SUM(L9/D9)</f>
        <v/>
      </c>
      <c r="N9" s="130" t="n">
        <v>14008.65</v>
      </c>
      <c r="O9" s="26" t="n"/>
    </row>
    <row r="10" ht="15.6" customHeight="1">
      <c r="A10" s="406" t="inlineStr">
        <is>
          <t xml:space="preserve">Waterkloof </t>
        </is>
      </c>
      <c r="B10" s="194" t="n">
        <v>139006.44</v>
      </c>
      <c r="C10" s="73" t="n">
        <v>144176.83</v>
      </c>
      <c r="D10" s="145" t="n">
        <v>126339</v>
      </c>
      <c r="E10" s="163">
        <f>IFERROR((SUM(D10-C10)/C10),0)</f>
        <v/>
      </c>
      <c r="F10" s="166" t="n">
        <v>862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/>
      </c>
      <c r="K10" s="172">
        <f>IFERROR(J10/SUM(F10),0)</f>
        <v/>
      </c>
      <c r="L10" s="188" t="n">
        <v>35251.9</v>
      </c>
      <c r="M10" s="89">
        <f>SUM(L10/D10)</f>
        <v/>
      </c>
      <c r="N10" s="130" t="n">
        <v>6427.5</v>
      </c>
      <c r="O10" s="26" t="n"/>
    </row>
    <row r="11" ht="15.6" customHeight="1">
      <c r="A11" s="406" t="inlineStr">
        <is>
          <t>Eagles Landing</t>
        </is>
      </c>
      <c r="B11" s="194" t="n">
        <v>363089.93</v>
      </c>
      <c r="C11" s="73" t="n">
        <v>318202.9</v>
      </c>
      <c r="D11" s="145" t="n">
        <v>313954.43</v>
      </c>
      <c r="E11" s="163">
        <f>IFERROR((SUM(D11-C11)/C11),0)</f>
        <v/>
      </c>
      <c r="F11" s="166" t="n">
        <v>2006</v>
      </c>
      <c r="G11" s="63">
        <f>IFERROR(D11/F11,0)</f>
        <v/>
      </c>
      <c r="H11" s="61" t="n">
        <v>34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/>
      </c>
      <c r="K11" s="172">
        <f>IFERROR(J11/SUM(F11),0)</f>
        <v/>
      </c>
      <c r="L11" s="188" t="n">
        <v>42719.49</v>
      </c>
      <c r="M11" s="89">
        <f>SUM(L11/D11)</f>
        <v/>
      </c>
      <c r="N11" s="130" t="n">
        <v>15083.8</v>
      </c>
      <c r="O11" s="26" t="n"/>
    </row>
    <row r="12" ht="15.6" customHeight="1">
      <c r="A12" s="160" t="inlineStr">
        <is>
          <t>Stellenbosch</t>
        </is>
      </c>
      <c r="B12" s="194" t="n">
        <v>157461.4</v>
      </c>
      <c r="C12" s="73" t="n">
        <v>118179.37</v>
      </c>
      <c r="D12" s="145" t="n">
        <v>120679.88</v>
      </c>
      <c r="E12" s="163">
        <f>IFERROR((SUM(D12-C12)/C12),0)</f>
        <v/>
      </c>
      <c r="F12" s="166" t="n">
        <v>1010</v>
      </c>
      <c r="G12" s="63">
        <f>IFERROR(D12/F12,0)</f>
        <v/>
      </c>
      <c r="H12" s="61" t="n">
        <v>24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/>
      </c>
      <c r="K12" s="172">
        <f>IFERROR(J12/SUM(F12),0)</f>
        <v/>
      </c>
      <c r="L12" s="188" t="n">
        <v>19871.95</v>
      </c>
      <c r="M12" s="89">
        <f>SUM(L12/D12)</f>
        <v/>
      </c>
      <c r="N12" s="130" t="n">
        <v>9678.85</v>
      </c>
      <c r="O12" s="26" t="n"/>
    </row>
    <row r="13" ht="15.6" customHeight="1">
      <c r="A13" s="160" t="inlineStr">
        <is>
          <t>Lynnwood</t>
        </is>
      </c>
      <c r="B13" s="194" t="n">
        <v>216093.02</v>
      </c>
      <c r="C13" s="73" t="n">
        <v>206172.99</v>
      </c>
      <c r="D13" s="145" t="n">
        <v>210396.93</v>
      </c>
      <c r="E13" s="163">
        <f>IFERROR((SUM(D13-C13)/C13),0)</f>
        <v/>
      </c>
      <c r="F13" s="166" t="n">
        <v>1506</v>
      </c>
      <c r="G13" s="63">
        <f>IFERROR(D13/F13,0)</f>
        <v/>
      </c>
      <c r="H13" s="61" t="n">
        <v>38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/>
      </c>
      <c r="K13" s="172">
        <f>IFERROR(J13/SUM(F13),0)</f>
        <v/>
      </c>
      <c r="L13" s="188" t="n">
        <v>34177.45</v>
      </c>
      <c r="M13" s="89">
        <f>SUM(L13/D13)</f>
        <v/>
      </c>
      <c r="N13" s="130" t="n">
        <v>9336.5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90313.03999999999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138311.25</v>
      </c>
      <c r="C15" s="73" t="n">
        <v>180202.37</v>
      </c>
      <c r="D15" s="145" t="n">
        <v>182706.98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/>
      </c>
      <c r="K15" s="172">
        <f>IFERROR(J15/SUM(F15),0)</f>
        <v/>
      </c>
      <c r="L15" s="188" t="n">
        <v>10460.87</v>
      </c>
      <c r="M15" s="89">
        <f>SUM(L15/D15)</f>
        <v/>
      </c>
      <c r="N15" s="130" t="n">
        <v>7045</v>
      </c>
      <c r="O15" s="9" t="n"/>
    </row>
    <row r="16" ht="15.6" customHeight="1">
      <c r="A16" s="160" t="inlineStr">
        <is>
          <t>Kyalami Corner</t>
        </is>
      </c>
      <c r="B16" s="194" t="n">
        <v>126564.93</v>
      </c>
      <c r="C16" s="73" t="n">
        <v>107160.67</v>
      </c>
      <c r="D16" s="145" t="n">
        <v>123420.75</v>
      </c>
      <c r="E16" s="163">
        <f>IFERROR((SUM(D16-C16)/C16),0)</f>
        <v/>
      </c>
      <c r="F16" s="166" t="n">
        <v>842</v>
      </c>
      <c r="G16" s="63">
        <f>IFERROR(D16/F16,0)</f>
        <v/>
      </c>
      <c r="H16" s="61" t="n">
        <v>21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/>
      </c>
      <c r="K16" s="172">
        <f>IFERROR(J16/SUM(F16),0)</f>
        <v/>
      </c>
      <c r="L16" s="188" t="n">
        <v>21857.13</v>
      </c>
      <c r="M16" s="89">
        <f>SUM(L16/D16)</f>
        <v/>
      </c>
      <c r="N16" s="130" t="n">
        <v>7435.7</v>
      </c>
      <c r="O16" s="9" t="n"/>
    </row>
    <row r="17" ht="15.6" customHeight="1">
      <c r="A17" s="160" t="inlineStr">
        <is>
          <t>Paulshof</t>
        </is>
      </c>
      <c r="B17" s="194" t="n">
        <v>214731.95</v>
      </c>
      <c r="C17" s="73" t="n">
        <v>166398.83</v>
      </c>
      <c r="D17" s="145" t="n">
        <v>198462.73</v>
      </c>
      <c r="E17" s="163">
        <f>IFERROR((SUM(D17-C17)/C17),0)</f>
        <v/>
      </c>
      <c r="F17" s="166" t="n">
        <v>1305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/>
      </c>
      <c r="K17" s="172">
        <f>IFERROR(J17/SUM(F17),0)</f>
        <v/>
      </c>
      <c r="L17" s="188" t="n">
        <v>32016.87</v>
      </c>
      <c r="M17" s="89">
        <f>SUM(L17/D17)</f>
        <v/>
      </c>
      <c r="N17" s="130" t="n">
        <v>13085.14</v>
      </c>
      <c r="O17" s="9" t="n"/>
    </row>
    <row r="18" ht="16.2" customHeight="1" thickBot="1">
      <c r="A18" s="161" t="inlineStr">
        <is>
          <t>Queenswood</t>
        </is>
      </c>
      <c r="B18" s="195" t="n">
        <v>162603.09</v>
      </c>
      <c r="C18" s="131" t="n"/>
      <c r="D18" s="146" t="n">
        <v>143407</v>
      </c>
      <c r="E18" s="164">
        <f>IFERROR((SUM(D18-C18)/C18),0)</f>
        <v/>
      </c>
      <c r="F18" s="167" t="n">
        <v>1150</v>
      </c>
      <c r="G18" s="132">
        <f>IFERROR(D18/F18,0)</f>
        <v/>
      </c>
      <c r="H18" s="133" t="n">
        <v>33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/>
      </c>
      <c r="K18" s="173">
        <f>IFERROR(J18/SUM(F18),0)</f>
        <v/>
      </c>
      <c r="L18" s="189" t="n">
        <v>18426.65</v>
      </c>
      <c r="M18" s="116">
        <f>SUM(L18/D18)</f>
        <v/>
      </c>
      <c r="N18" s="134" t="n">
        <v>3647.5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1" operator="equal" dxfId="0">
      <formula>0</formula>
    </cfRule>
  </conditionalFormatting>
  <conditionalFormatting sqref="C6 C7:D17 C18:I18 E6:E17 F6:K6 F7:I17 J7:N18 M6:N6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267972.63</v>
      </c>
      <c r="C6" s="123" t="n">
        <v>207282.75</v>
      </c>
      <c r="D6" s="197" t="n">
        <v>222616.58</v>
      </c>
      <c r="E6" s="162">
        <f>IFERROR((SUM(D6-C6)/C6),0)</f>
        <v/>
      </c>
      <c r="F6" s="165" t="n">
        <v>1652</v>
      </c>
      <c r="G6" s="124">
        <f>IFERROR(D6/F6,0)</f>
        <v/>
      </c>
      <c r="H6" s="125" t="n">
        <v>20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/>
      </c>
      <c r="K6" s="171">
        <f>IFERROR(J6/SUM(F6),0)</f>
        <v/>
      </c>
      <c r="L6" s="191" t="n">
        <v>34848.21</v>
      </c>
      <c r="M6" s="128">
        <f>SUM(L6/D6)</f>
        <v/>
      </c>
      <c r="N6" s="129" t="n">
        <v>9739.9</v>
      </c>
      <c r="O6" s="26" t="n"/>
    </row>
    <row r="7" ht="15.6" customHeight="1">
      <c r="A7" s="406" t="inlineStr">
        <is>
          <t>Melrose Arch</t>
        </is>
      </c>
      <c r="B7" s="194" t="n">
        <v>215626.05</v>
      </c>
      <c r="C7" s="73" t="n">
        <v>143954.67</v>
      </c>
      <c r="D7" s="145" t="n">
        <v>197449.78</v>
      </c>
      <c r="E7" s="163">
        <f>IFERROR((SUM(D7-C7)/C7),0)</f>
        <v/>
      </c>
      <c r="F7" s="166" t="n">
        <v>1512</v>
      </c>
      <c r="G7" s="63">
        <f>IFERROR(D7/F7,0)</f>
        <v/>
      </c>
      <c r="H7" s="61" t="n">
        <v>11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/>
      </c>
      <c r="K7" s="172">
        <f>IFERROR(J7/SUM(F7),0)</f>
        <v/>
      </c>
      <c r="L7" s="188" t="n">
        <v>27204.28</v>
      </c>
      <c r="M7" s="89">
        <f>SUM(L7/D7)</f>
        <v/>
      </c>
      <c r="N7" s="130" t="n">
        <v>13417.95</v>
      </c>
      <c r="O7" s="26" t="n"/>
    </row>
    <row r="8" ht="15.6" customHeight="1">
      <c r="A8" s="406" t="inlineStr">
        <is>
          <t>Melville</t>
        </is>
      </c>
      <c r="B8" s="194" t="n">
        <v>103484.13</v>
      </c>
      <c r="C8" s="73" t="n">
        <v>89612.08</v>
      </c>
      <c r="D8" s="145" t="n">
        <v>78509.75</v>
      </c>
      <c r="E8" s="163">
        <f>IFERROR((SUM(D8-C8)/C8),0)</f>
        <v/>
      </c>
      <c r="F8" s="166" t="n">
        <v>609</v>
      </c>
      <c r="G8" s="63">
        <f>IFERROR(D8/F8,0)</f>
        <v/>
      </c>
      <c r="H8" s="61" t="n">
        <v>8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/>
      </c>
      <c r="K8" s="172">
        <f>IFERROR(J8/SUM(F8),0)</f>
        <v/>
      </c>
      <c r="L8" s="188" t="n">
        <v>23228.82</v>
      </c>
      <c r="M8" s="89">
        <f>SUM(L8/D8)</f>
        <v/>
      </c>
      <c r="N8" s="130" t="n">
        <v>5113.5</v>
      </c>
      <c r="O8" s="26" t="n"/>
    </row>
    <row r="9" ht="15.6" customHeight="1">
      <c r="A9" s="406" t="inlineStr">
        <is>
          <t>Rosebank</t>
        </is>
      </c>
      <c r="B9" s="194" t="n">
        <v>317143.52</v>
      </c>
      <c r="C9" s="73" t="n">
        <v>258233.9</v>
      </c>
      <c r="D9" s="145" t="n">
        <v>311549.81</v>
      </c>
      <c r="E9" s="163">
        <f>IFERROR((SUM(D9-C9)/C9),0)</f>
        <v/>
      </c>
      <c r="F9" s="166" t="n">
        <v>2239</v>
      </c>
      <c r="G9" s="63">
        <f>IFERROR(D9/F9,0)</f>
        <v/>
      </c>
      <c r="H9" s="61" t="n">
        <v>25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/>
      </c>
      <c r="K9" s="172">
        <f>IFERROR(J9/SUM(F9),0)</f>
        <v/>
      </c>
      <c r="L9" s="188" t="n">
        <v>26551.97</v>
      </c>
      <c r="M9" s="89">
        <f>SUM(L9/D9)</f>
        <v/>
      </c>
      <c r="N9" s="130" t="n">
        <v>10718.41</v>
      </c>
      <c r="O9" s="26" t="n"/>
    </row>
    <row r="10" ht="15.6" customHeight="1">
      <c r="A10" s="406" t="inlineStr">
        <is>
          <t xml:space="preserve">Waterkloof </t>
        </is>
      </c>
      <c r="B10" s="194" t="n">
        <v>126339</v>
      </c>
      <c r="C10" s="73" t="n">
        <v>143814.22</v>
      </c>
      <c r="D10" s="145" t="n">
        <v>154333.15</v>
      </c>
      <c r="E10" s="163">
        <f>IFERROR((SUM(D10-C10)/C10),0)</f>
        <v/>
      </c>
      <c r="F10" s="166" t="n">
        <v>1013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/>
      </c>
      <c r="K10" s="172">
        <f>IFERROR(J10/SUM(F10),0)</f>
        <v/>
      </c>
      <c r="L10" s="188" t="n">
        <v>46751.2</v>
      </c>
      <c r="M10" s="89">
        <f>SUM(L10/D10)</f>
        <v/>
      </c>
      <c r="N10" s="130" t="n">
        <v>7700.05</v>
      </c>
      <c r="O10" s="26" t="n"/>
    </row>
    <row r="11" ht="15.6" customHeight="1">
      <c r="A11" s="406" t="inlineStr">
        <is>
          <t>Eagles Landing</t>
        </is>
      </c>
      <c r="B11" s="194" t="n">
        <v>313954.43</v>
      </c>
      <c r="C11" s="73" t="n">
        <v>296762.82</v>
      </c>
      <c r="D11" s="145" t="n">
        <v>351899.09</v>
      </c>
      <c r="E11" s="163">
        <f>IFERROR((SUM(D11-C11)/C11),0)</f>
        <v/>
      </c>
      <c r="F11" s="166" t="n">
        <v>2290</v>
      </c>
      <c r="G11" s="63">
        <f>IFERROR(D11/F11,0)</f>
        <v/>
      </c>
      <c r="H11" s="61" t="n">
        <v>56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/>
      </c>
      <c r="K11" s="172">
        <f>IFERROR(J11/SUM(F11),0)</f>
        <v/>
      </c>
      <c r="L11" s="188" t="n">
        <v>44052.5</v>
      </c>
      <c r="M11" s="89">
        <f>SUM(L11/D11)</f>
        <v/>
      </c>
      <c r="N11" s="130" t="n">
        <v>23424.1</v>
      </c>
      <c r="O11" s="26" t="n"/>
    </row>
    <row r="12" ht="15.6" customHeight="1">
      <c r="A12" s="160" t="inlineStr">
        <is>
          <t>Stellenbosch</t>
        </is>
      </c>
      <c r="B12" s="194" t="n">
        <v>120679.88</v>
      </c>
      <c r="C12" s="73" t="n">
        <v>114345.39</v>
      </c>
      <c r="D12" s="145" t="n">
        <v>158515.24</v>
      </c>
      <c r="E12" s="163">
        <f>IFERROR((SUM(D12-C12)/C12),0)</f>
        <v/>
      </c>
      <c r="F12" s="166" t="n">
        <v>1273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/>
      </c>
      <c r="K12" s="172">
        <f>IFERROR(J12/SUM(F12),0)</f>
        <v/>
      </c>
      <c r="L12" s="188" t="n">
        <v>22015.16</v>
      </c>
      <c r="M12" s="89">
        <f>SUM(L12/D12)</f>
        <v/>
      </c>
      <c r="N12" s="130" t="n">
        <v>11424.75</v>
      </c>
      <c r="O12" s="26" t="n"/>
    </row>
    <row r="13" ht="15.6" customHeight="1">
      <c r="A13" s="160" t="inlineStr">
        <is>
          <t>Lynnwood</t>
        </is>
      </c>
      <c r="B13" s="194" t="n">
        <v>210396.93</v>
      </c>
      <c r="C13" s="73" t="n">
        <v>194113.41</v>
      </c>
      <c r="D13" s="145" t="n">
        <v>217294.08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43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/>
      </c>
      <c r="K13" s="172">
        <f>IFERROR(J13/SUM(F13),0)</f>
        <v/>
      </c>
      <c r="L13" s="188" t="n">
        <v>37240.13</v>
      </c>
      <c r="M13" s="89">
        <f>SUM(L13/D13)</f>
        <v/>
      </c>
      <c r="N13" s="130" t="n">
        <v>11913.45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80398.27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182706.98</v>
      </c>
      <c r="C15" s="73" t="n">
        <v>118383.8</v>
      </c>
      <c r="D15" s="145" t="n">
        <v>149035.45</v>
      </c>
      <c r="E15" s="163">
        <f>IFERROR((SUM(D15-C15)/C15),0)</f>
        <v/>
      </c>
      <c r="F15" s="166" t="n">
        <v>1203</v>
      </c>
      <c r="G15" s="63">
        <f>IFERROR(D15/F15,0)</f>
        <v/>
      </c>
      <c r="H15" s="61" t="n">
        <v>16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/>
      </c>
      <c r="K15" s="172">
        <f>IFERROR(J15/SUM(F15),0)</f>
        <v/>
      </c>
      <c r="L15" s="188" t="n">
        <v>8884</v>
      </c>
      <c r="M15" s="89">
        <f>SUM(L15/D15)</f>
        <v/>
      </c>
      <c r="N15" s="130" t="n">
        <v>5852.45</v>
      </c>
      <c r="O15" s="9" t="n"/>
    </row>
    <row r="16" ht="15.6" customHeight="1">
      <c r="A16" s="160" t="inlineStr">
        <is>
          <t>Kyalami Corner</t>
        </is>
      </c>
      <c r="B16" s="194" t="n">
        <v>123420.75</v>
      </c>
      <c r="C16" s="73" t="n">
        <v>93204.23</v>
      </c>
      <c r="D16" s="145" t="n">
        <v>119169.43</v>
      </c>
      <c r="E16" s="163">
        <f>IFERROR((SUM(D16-C16)/C16),0)</f>
        <v/>
      </c>
      <c r="F16" s="166" t="n">
        <v>839</v>
      </c>
      <c r="G16" s="63">
        <f>IFERROR(D16/F16,0)</f>
        <v/>
      </c>
      <c r="H16" s="61" t="n">
        <v>20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/>
      </c>
      <c r="K16" s="172">
        <f>IFERROR(J16/SUM(F16),0)</f>
        <v/>
      </c>
      <c r="L16" s="188" t="n">
        <v>22408.63</v>
      </c>
      <c r="M16" s="89">
        <f>SUM(L16/D16)</f>
        <v/>
      </c>
      <c r="N16" s="130" t="n">
        <v>9010</v>
      </c>
      <c r="O16" s="9" t="n"/>
    </row>
    <row r="17" ht="15.6" customHeight="1">
      <c r="A17" s="160" t="inlineStr">
        <is>
          <t>Paulshof</t>
        </is>
      </c>
      <c r="B17" s="194" t="n">
        <v>198462.73</v>
      </c>
      <c r="C17" s="73" t="n">
        <v>164548.48</v>
      </c>
      <c r="D17" s="145" t="n">
        <v>209337.65</v>
      </c>
      <c r="E17" s="163">
        <f>IFERROR((SUM(D17-C17)/C17),0)</f>
        <v/>
      </c>
      <c r="F17" s="166" t="n">
        <v>1299</v>
      </c>
      <c r="G17" s="63">
        <f>IFERROR(D17/F17,0)</f>
        <v/>
      </c>
      <c r="H17" s="61" t="n">
        <v>15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/>
      </c>
      <c r="K17" s="172">
        <f>IFERROR(J17/SUM(F17),0)</f>
        <v/>
      </c>
      <c r="L17" s="188" t="n">
        <v>32935.6</v>
      </c>
      <c r="M17" s="89">
        <f>SUM(L17/D17)</f>
        <v/>
      </c>
      <c r="N17" s="130" t="n">
        <v>17330.21</v>
      </c>
      <c r="O17" s="9" t="n"/>
    </row>
    <row r="18" ht="16.2" customHeight="1" thickBot="1">
      <c r="A18" s="161" t="inlineStr">
        <is>
          <t>Queenswood</t>
        </is>
      </c>
      <c r="B18" s="195" t="n">
        <v>143407</v>
      </c>
      <c r="C18" s="131" t="n"/>
      <c r="D18" s="146" t="n">
        <v>147869.29</v>
      </c>
      <c r="E18" s="164">
        <f>IFERROR((SUM(D18-C18)/C18),0)</f>
        <v/>
      </c>
      <c r="F18" s="167" t="n">
        <v>1200</v>
      </c>
      <c r="G18" s="132">
        <f>IFERROR(D18/F18,0)</f>
        <v/>
      </c>
      <c r="H18" s="133" t="n">
        <v>44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/>
      </c>
      <c r="K18" s="173">
        <f>IFERROR(J18/SUM(F18),0)</f>
        <v/>
      </c>
      <c r="L18" s="189" t="n">
        <v>24603.49</v>
      </c>
      <c r="M18" s="116">
        <f>SUM(L18/D18)</f>
        <v/>
      </c>
      <c r="N18" s="134" t="n">
        <v>3495.8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222616.58</v>
      </c>
      <c r="C6" s="123" t="n">
        <v>209469.86</v>
      </c>
      <c r="D6" s="197" t="n">
        <v>231767.72</v>
      </c>
      <c r="E6" s="162">
        <f>IFERROR((SUM(D6-C6)/C6),0)</f>
        <v/>
      </c>
      <c r="F6" s="165" t="n">
        <v>1727</v>
      </c>
      <c r="G6" s="124">
        <f>IFERROR(D6/F6,0)</f>
        <v/>
      </c>
      <c r="H6" s="125" t="n">
        <v>23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/>
      </c>
      <c r="K6" s="171">
        <f>IFERROR(J6/SUM(F6),0)</f>
        <v/>
      </c>
      <c r="L6" s="191" t="n">
        <v>35182.43</v>
      </c>
      <c r="M6" s="128">
        <f>SUM(L6/D6)</f>
        <v/>
      </c>
      <c r="N6" s="129" t="n">
        <v>8980.65</v>
      </c>
      <c r="O6" s="26" t="n"/>
    </row>
    <row r="7" ht="15.6" customHeight="1">
      <c r="A7" s="406" t="inlineStr">
        <is>
          <t>Melrose Arch</t>
        </is>
      </c>
      <c r="B7" s="194" t="n">
        <v>197449.78</v>
      </c>
      <c r="C7" s="73" t="n">
        <v>181006.65</v>
      </c>
      <c r="D7" s="145" t="n">
        <v>221483.49</v>
      </c>
      <c r="E7" s="163">
        <f>IFERROR((SUM(D7-C7)/C7),0)</f>
        <v/>
      </c>
      <c r="F7" s="166" t="n">
        <v>1542</v>
      </c>
      <c r="G7" s="63">
        <f>IFERROR(D7/F7,0)</f>
        <v/>
      </c>
      <c r="H7" s="61" t="n">
        <v>10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/>
      </c>
      <c r="K7" s="172">
        <f>IFERROR(J7/SUM(F7),0)</f>
        <v/>
      </c>
      <c r="L7" s="188" t="n">
        <v>28271.9</v>
      </c>
      <c r="M7" s="89">
        <f>SUM(L7/D7)</f>
        <v/>
      </c>
      <c r="N7" s="130" t="n">
        <v>21222.8</v>
      </c>
      <c r="O7" s="26" t="n"/>
    </row>
    <row r="8" ht="15.6" customHeight="1">
      <c r="A8" s="406" t="inlineStr">
        <is>
          <t>Melville</t>
        </is>
      </c>
      <c r="B8" s="194" t="n">
        <v>78509.75</v>
      </c>
      <c r="C8" s="73" t="n">
        <v>105933.58</v>
      </c>
      <c r="D8" s="145" t="n">
        <v>108339.36</v>
      </c>
      <c r="E8" s="163">
        <f>IFERROR((SUM(D8-C8)/C8),0)</f>
        <v/>
      </c>
      <c r="F8" s="166" t="n">
        <v>727</v>
      </c>
      <c r="G8" s="63">
        <f>IFERROR(D8/F8,0)</f>
        <v/>
      </c>
      <c r="H8" s="61" t="n">
        <v>12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/>
      </c>
      <c r="K8" s="172">
        <f>IFERROR(J8/SUM(F8),0)</f>
        <v/>
      </c>
      <c r="L8" s="188" t="n">
        <v>38226.39</v>
      </c>
      <c r="M8" s="89">
        <f>SUM(L8/D8)</f>
        <v/>
      </c>
      <c r="N8" s="130" t="n">
        <v>3473.5</v>
      </c>
      <c r="O8" s="26" t="n"/>
    </row>
    <row r="9" ht="15.6" customHeight="1">
      <c r="A9" s="406" t="inlineStr">
        <is>
          <t>Rosebank</t>
        </is>
      </c>
      <c r="B9" s="194" t="n">
        <v>311549.81</v>
      </c>
      <c r="C9" s="73" t="n">
        <v>275025.62</v>
      </c>
      <c r="D9" s="145" t="n">
        <v>318980.9</v>
      </c>
      <c r="E9" s="163">
        <f>IFERROR((SUM(D9-C9)/C9),0)</f>
        <v/>
      </c>
      <c r="F9" s="166" t="n">
        <v>2263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/>
      </c>
      <c r="K9" s="172">
        <f>IFERROR(J9/SUM(F9),0)</f>
        <v/>
      </c>
      <c r="L9" s="188" t="n">
        <v>24390.2</v>
      </c>
      <c r="M9" s="89">
        <f>SUM(L9/D9)</f>
        <v/>
      </c>
      <c r="N9" s="130" t="n">
        <v>11367.02</v>
      </c>
      <c r="O9" s="26" t="n"/>
    </row>
    <row r="10" ht="15.6" customHeight="1">
      <c r="A10" s="406" t="inlineStr">
        <is>
          <t xml:space="preserve">Waterkloof </t>
        </is>
      </c>
      <c r="B10" s="194" t="n">
        <v>154333.15</v>
      </c>
      <c r="C10" s="73" t="n">
        <v>134373.57</v>
      </c>
      <c r="D10" s="145" t="n">
        <v>146426.02</v>
      </c>
      <c r="E10" s="163">
        <f>IFERROR((SUM(D10-C10)/C10),0)</f>
        <v/>
      </c>
      <c r="F10" s="166" t="n">
        <v>1012</v>
      </c>
      <c r="G10" s="63">
        <f>IFERROR(D10/F10,0)</f>
        <v/>
      </c>
      <c r="H10" s="61" t="n">
        <v>20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/>
      </c>
      <c r="K10" s="172">
        <f>IFERROR(J10/SUM(F10),0)</f>
        <v/>
      </c>
      <c r="L10" s="188" t="n">
        <v>37550.08</v>
      </c>
      <c r="M10" s="89">
        <f>SUM(L10/D10)</f>
        <v/>
      </c>
      <c r="N10" s="130" t="n">
        <v>8631.299999999999</v>
      </c>
      <c r="O10" s="26" t="n"/>
    </row>
    <row r="11" ht="15.6" customHeight="1">
      <c r="A11" s="406" t="inlineStr">
        <is>
          <t>Eagles Landing</t>
        </is>
      </c>
      <c r="B11" s="194" t="n">
        <v>351899.09</v>
      </c>
      <c r="C11" s="73" t="n">
        <v>302044.64</v>
      </c>
      <c r="D11" s="145" t="n">
        <v>360091.79</v>
      </c>
      <c r="E11" s="163">
        <f>IFERROR((SUM(D11-C11)/C11),0)</f>
        <v/>
      </c>
      <c r="F11" s="166" t="n">
        <v>2123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/>
      </c>
      <c r="K11" s="172">
        <f>IFERROR(J11/SUM(F11),0)</f>
        <v/>
      </c>
      <c r="L11" s="188" t="n">
        <v>49753.07</v>
      </c>
      <c r="M11" s="89">
        <f>SUM(L11/D11)</f>
        <v/>
      </c>
      <c r="N11" s="130" t="n">
        <v>16573.15</v>
      </c>
      <c r="O11" s="26" t="n"/>
    </row>
    <row r="12" ht="15.6" customHeight="1">
      <c r="A12" s="160" t="inlineStr">
        <is>
          <t>Stellenbosch</t>
        </is>
      </c>
      <c r="B12" s="194" t="n">
        <v>158515.24</v>
      </c>
      <c r="C12" s="73" t="n">
        <v>120580.58</v>
      </c>
      <c r="D12" s="145" t="n">
        <v>140341.66</v>
      </c>
      <c r="E12" s="163">
        <f>IFERROR((SUM(D12-C12)/C12),0)</f>
        <v/>
      </c>
      <c r="F12" s="166" t="n">
        <v>1109</v>
      </c>
      <c r="G12" s="63">
        <f>IFERROR(D12/F12,0)</f>
        <v/>
      </c>
      <c r="H12" s="61" t="n">
        <v>22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/>
      </c>
      <c r="K12" s="172">
        <f>IFERROR(J12/SUM(F12),0)</f>
        <v/>
      </c>
      <c r="L12" s="188" t="n">
        <v>21148.97</v>
      </c>
      <c r="M12" s="89">
        <f>SUM(L12/D12)</f>
        <v/>
      </c>
      <c r="N12" s="130" t="n">
        <v>11988.1</v>
      </c>
      <c r="O12" s="26" t="n"/>
    </row>
    <row r="13" ht="15.6" customHeight="1">
      <c r="A13" s="160" t="inlineStr">
        <is>
          <t>Lynnwood</t>
        </is>
      </c>
      <c r="B13" s="194" t="n">
        <v>217294.08</v>
      </c>
      <c r="C13" s="73" t="n">
        <v>208254.48</v>
      </c>
      <c r="D13" s="145" t="n">
        <v>198305.39</v>
      </c>
      <c r="E13" s="163">
        <f>IFERROR((SUM(D13-C13)/C13),0)</f>
        <v/>
      </c>
      <c r="F13" s="166" t="n">
        <v>1424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/>
      </c>
      <c r="K13" s="172">
        <f>IFERROR(J13/SUM(F13),0)</f>
        <v/>
      </c>
      <c r="L13" s="188" t="n">
        <v>37499.17</v>
      </c>
      <c r="M13" s="89">
        <f>SUM(L13/D13)</f>
        <v/>
      </c>
      <c r="N13" s="130" t="n">
        <v>8758.9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51017.29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149035.45</v>
      </c>
      <c r="C15" s="73" t="n">
        <v>113631.98</v>
      </c>
      <c r="D15" s="145" t="n">
        <v>144589.57</v>
      </c>
      <c r="E15" s="163">
        <f>IFERROR((SUM(D15-C15)/C15),0)</f>
        <v/>
      </c>
      <c r="F15" s="166" t="n">
        <v>1249</v>
      </c>
      <c r="G15" s="63">
        <f>IFERROR(D15/F15,0)</f>
        <v/>
      </c>
      <c r="H15" s="61" t="n">
        <v>56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/>
      </c>
      <c r="K15" s="172">
        <f>IFERROR(J15/SUM(F15),0)</f>
        <v/>
      </c>
      <c r="L15" s="188" t="n">
        <v>4570.87</v>
      </c>
      <c r="M15" s="89">
        <f>SUM(L15/D15)</f>
        <v/>
      </c>
      <c r="N15" s="130" t="n">
        <v>4768.55</v>
      </c>
      <c r="O15" s="9" t="n"/>
    </row>
    <row r="16" ht="15.6" customHeight="1">
      <c r="A16" s="160" t="inlineStr">
        <is>
          <t>Kyalami Corner</t>
        </is>
      </c>
      <c r="B16" s="194" t="n">
        <v>119169.43</v>
      </c>
      <c r="C16" s="73" t="n">
        <v>112972.82</v>
      </c>
      <c r="D16" s="145" t="n">
        <v>132180.87</v>
      </c>
      <c r="E16" s="163">
        <f>IFERROR((SUM(D16-C16)/C16),0)</f>
        <v/>
      </c>
      <c r="F16" s="166" t="n">
        <v>886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/>
      </c>
      <c r="K16" s="172">
        <f>IFERROR(J16/SUM(F16),0)</f>
        <v/>
      </c>
      <c r="L16" s="188" t="n">
        <v>27060.1</v>
      </c>
      <c r="M16" s="89">
        <f>SUM(L16/D16)</f>
        <v/>
      </c>
      <c r="N16" s="130" t="n">
        <v>7638</v>
      </c>
      <c r="O16" s="9" t="n"/>
    </row>
    <row r="17" ht="15.6" customHeight="1">
      <c r="A17" s="160" t="inlineStr">
        <is>
          <t>Paulshof</t>
        </is>
      </c>
      <c r="B17" s="194" t="n">
        <v>209337.65</v>
      </c>
      <c r="C17" s="73" t="n">
        <v>159987.04</v>
      </c>
      <c r="D17" s="145" t="n">
        <v>198741.03</v>
      </c>
      <c r="E17" s="163">
        <f>IFERROR((SUM(D17-C17)/C17),0)</f>
        <v/>
      </c>
      <c r="F17" s="166" t="n">
        <v>1281</v>
      </c>
      <c r="G17" s="63">
        <f>IFERROR(D17/F17,0)</f>
        <v/>
      </c>
      <c r="H17" s="61" t="n">
        <v>14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/>
      </c>
      <c r="K17" s="172">
        <f>IFERROR(J17/SUM(F17),0)</f>
        <v/>
      </c>
      <c r="L17" s="188" t="n">
        <v>34220.35</v>
      </c>
      <c r="M17" s="89">
        <f>SUM(L17/D17)</f>
        <v/>
      </c>
      <c r="N17" s="130" t="n">
        <v>10249.12</v>
      </c>
      <c r="O17" s="9" t="n"/>
    </row>
    <row r="18" ht="16.2" customHeight="1" thickBot="1">
      <c r="A18" s="161" t="inlineStr">
        <is>
          <t>Queenswood</t>
        </is>
      </c>
      <c r="B18" s="195" t="n">
        <v>147869.29</v>
      </c>
      <c r="C18" s="131" t="n"/>
      <c r="D18" s="146" t="n">
        <v>159131.38</v>
      </c>
      <c r="E18" s="164">
        <f>IFERROR((SUM(D18-C18)/C18),0)</f>
        <v/>
      </c>
      <c r="F18" s="167" t="n">
        <v>1235</v>
      </c>
      <c r="G18" s="132">
        <f>IFERROR(D18/F18,0)</f>
        <v/>
      </c>
      <c r="H18" s="133" t="n">
        <v>35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/>
      </c>
      <c r="K18" s="173">
        <f>IFERROR(J18/SUM(F18),0)</f>
        <v/>
      </c>
      <c r="L18" s="189" t="n">
        <v>20982.13</v>
      </c>
      <c r="M18" s="116">
        <f>SUM(L18/D18)</f>
        <v/>
      </c>
      <c r="N18" s="134" t="n">
        <v>5294.5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5" t="inlineStr">
        <is>
          <t>Irene Village</t>
        </is>
      </c>
      <c r="B6" s="196" t="n">
        <v>231767.72</v>
      </c>
      <c r="C6" s="123" t="n">
        <v>235760.36</v>
      </c>
      <c r="D6" s="197" t="n">
        <v>248696.5</v>
      </c>
      <c r="E6" s="162">
        <f>IFERROR((SUM(D6-C6)/C6),0)</f>
        <v/>
      </c>
      <c r="F6" s="165" t="n">
        <v>1919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/>
      </c>
      <c r="K6" s="171">
        <f>IFERROR(J6/SUM(F6),0)</f>
        <v/>
      </c>
      <c r="L6" s="191" t="n">
        <v>36713.63</v>
      </c>
      <c r="M6" s="128">
        <f>SUM(L6/D6)</f>
        <v/>
      </c>
      <c r="N6" s="129" t="n">
        <v>14217.1</v>
      </c>
      <c r="O6" s="26" t="n"/>
    </row>
    <row r="7" ht="15.6" customHeight="1">
      <c r="A7" s="406" t="inlineStr">
        <is>
          <t>Melrose Arch</t>
        </is>
      </c>
      <c r="B7" s="194" t="n">
        <v>221483.49</v>
      </c>
      <c r="C7" s="73" t="n">
        <v>200562.47</v>
      </c>
      <c r="D7" s="145" t="n">
        <v>252827.21</v>
      </c>
      <c r="E7" s="163">
        <f>IFERROR((SUM(D7-C7)/C7),0)</f>
        <v/>
      </c>
      <c r="F7" s="166" t="n">
        <v>1758</v>
      </c>
      <c r="G7" s="63">
        <f>IFERROR(D7/F7,0)</f>
        <v/>
      </c>
      <c r="H7" s="61" t="n">
        <v>15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/>
      </c>
      <c r="K7" s="172">
        <f>IFERROR(J7/SUM(F7),0)</f>
        <v/>
      </c>
      <c r="L7" s="188" t="n">
        <v>41543.84</v>
      </c>
      <c r="M7" s="89">
        <f>SUM(L7/D7)</f>
        <v/>
      </c>
      <c r="N7" s="130" t="n">
        <v>29181.97</v>
      </c>
      <c r="O7" s="26" t="n"/>
    </row>
    <row r="8" ht="15.6" customHeight="1">
      <c r="A8" s="406" t="inlineStr">
        <is>
          <t>Melville</t>
        </is>
      </c>
      <c r="B8" s="194" t="n">
        <v>108339.36</v>
      </c>
      <c r="C8" s="73" t="n">
        <v>116687.5</v>
      </c>
      <c r="D8" s="145" t="n">
        <v>100438.88</v>
      </c>
      <c r="E8" s="163">
        <f>IFERROR((SUM(D8-C8)/C8),0)</f>
        <v/>
      </c>
      <c r="F8" s="166" t="n">
        <v>741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/>
      </c>
      <c r="K8" s="172">
        <f>IFERROR(J8/SUM(F8),0)</f>
        <v/>
      </c>
      <c r="L8" s="188" t="n">
        <v>30042.96</v>
      </c>
      <c r="M8" s="89">
        <f>SUM(L8/D8)</f>
        <v/>
      </c>
      <c r="N8" s="130" t="n">
        <v>4137</v>
      </c>
      <c r="O8" s="26" t="n"/>
    </row>
    <row r="9" ht="15.6" customHeight="1">
      <c r="A9" s="406" t="inlineStr">
        <is>
          <t>Rosebank</t>
        </is>
      </c>
      <c r="B9" s="194" t="n">
        <v>318980.9</v>
      </c>
      <c r="C9" s="73" t="n">
        <v>272847.31</v>
      </c>
      <c r="D9" s="145" t="n">
        <v>336182.19</v>
      </c>
      <c r="E9" s="163">
        <f>IFERROR((SUM(D9-C9)/C9),0)</f>
        <v/>
      </c>
      <c r="F9" s="166" t="n">
        <v>2570</v>
      </c>
      <c r="G9" s="63">
        <f>IFERROR(D9/F9,0)</f>
        <v/>
      </c>
      <c r="H9" s="61" t="n">
        <v>26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/>
      </c>
      <c r="K9" s="172">
        <f>IFERROR(J9/SUM(F9),0)</f>
        <v/>
      </c>
      <c r="L9" s="188" t="n">
        <v>26807.21</v>
      </c>
      <c r="M9" s="89">
        <f>SUM(L9/D9)</f>
        <v/>
      </c>
      <c r="N9" s="130" t="n">
        <v>12415.5</v>
      </c>
      <c r="O9" s="26" t="n"/>
    </row>
    <row r="10" ht="15.6" customHeight="1">
      <c r="A10" s="406" t="inlineStr">
        <is>
          <t xml:space="preserve">Waterkloof </t>
        </is>
      </c>
      <c r="B10" s="194" t="n">
        <v>146426.02</v>
      </c>
      <c r="C10" s="73" t="n">
        <v>142890.54</v>
      </c>
      <c r="D10" s="145" t="n">
        <v>152135.33</v>
      </c>
      <c r="E10" s="163">
        <f>IFERROR((SUM(D10-C10)/C10),0)</f>
        <v/>
      </c>
      <c r="F10" s="166" t="n">
        <v>965</v>
      </c>
      <c r="G10" s="63">
        <f>IFERROR(D10/F10,0)</f>
        <v/>
      </c>
      <c r="H10" s="61" t="n">
        <v>19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/>
      </c>
      <c r="K10" s="172">
        <f>IFERROR(J10/SUM(F10),0)</f>
        <v/>
      </c>
      <c r="L10" s="188" t="n">
        <v>44489.46</v>
      </c>
      <c r="M10" s="89">
        <f>SUM(L10/D10)</f>
        <v/>
      </c>
      <c r="N10" s="130" t="n">
        <v>10134.15</v>
      </c>
      <c r="O10" s="26" t="n"/>
    </row>
    <row r="11" ht="15.6" customHeight="1">
      <c r="A11" s="406" t="inlineStr">
        <is>
          <t>Eagles Landing</t>
        </is>
      </c>
      <c r="B11" s="194" t="n">
        <v>360091.79</v>
      </c>
      <c r="C11" s="73" t="n">
        <v>342584.91</v>
      </c>
      <c r="D11" s="145" t="n">
        <v>359955.15</v>
      </c>
      <c r="E11" s="163">
        <f>IFERROR((SUM(D11-C11)/C11),0)</f>
        <v/>
      </c>
      <c r="F11" s="166" t="n">
        <v>2246</v>
      </c>
      <c r="G11" s="63">
        <f>IFERROR(D11/F11,0)</f>
        <v/>
      </c>
      <c r="H11" s="61" t="n">
        <v>35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/>
      </c>
      <c r="K11" s="172">
        <f>IFERROR(J11/SUM(F11),0)</f>
        <v/>
      </c>
      <c r="L11" s="188" t="n">
        <v>51271.58</v>
      </c>
      <c r="M11" s="89">
        <f>SUM(L11/D11)</f>
        <v/>
      </c>
      <c r="N11" s="130" t="n">
        <v>19549.5</v>
      </c>
      <c r="O11" s="26" t="n"/>
    </row>
    <row r="12" ht="15.6" customHeight="1">
      <c r="A12" s="160" t="inlineStr">
        <is>
          <t>Stellenbosch</t>
        </is>
      </c>
      <c r="B12" s="194" t="n">
        <v>140341.66</v>
      </c>
      <c r="C12" s="73" t="n">
        <v>117324.77</v>
      </c>
      <c r="D12" s="145" t="n">
        <v>142994.71</v>
      </c>
      <c r="E12" s="163">
        <f>IFERROR((SUM(D12-C12)/C12),0)</f>
        <v/>
      </c>
      <c r="F12" s="166" t="n">
        <v>1242</v>
      </c>
      <c r="G12" s="63">
        <f>IFERROR(D12/F12,0)</f>
        <v/>
      </c>
      <c r="H12" s="61" t="n">
        <v>37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/>
      </c>
      <c r="K12" s="172">
        <f>IFERROR(J12/SUM(F12),0)</f>
        <v/>
      </c>
      <c r="L12" s="188" t="n">
        <v>27605.19</v>
      </c>
      <c r="M12" s="89">
        <f>SUM(L12/D12)</f>
        <v/>
      </c>
      <c r="N12" s="130" t="n">
        <v>10950.2</v>
      </c>
      <c r="O12" s="26" t="n"/>
    </row>
    <row r="13" ht="15.6" customHeight="1">
      <c r="A13" s="160" t="inlineStr">
        <is>
          <t>Lynnwood</t>
        </is>
      </c>
      <c r="B13" s="194" t="n">
        <v>198305.39</v>
      </c>
      <c r="C13" s="73" t="n">
        <v>229593.2</v>
      </c>
      <c r="D13" s="145" t="n">
        <v>200652.94</v>
      </c>
      <c r="E13" s="163">
        <f>IFERROR((SUM(D13-C13)/C13),0)</f>
        <v/>
      </c>
      <c r="F13" s="166" t="n">
        <v>1485</v>
      </c>
      <c r="G13" s="63">
        <f>IFERROR(D13/F13,0)</f>
        <v/>
      </c>
      <c r="H13" s="61" t="n">
        <v>32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/>
      </c>
      <c r="K13" s="172">
        <f>IFERROR(J13/SUM(F13),0)</f>
        <v/>
      </c>
      <c r="L13" s="188" t="n">
        <v>34331.24</v>
      </c>
      <c r="M13" s="89">
        <f>SUM(L13/D13)</f>
        <v/>
      </c>
      <c r="N13" s="130" t="n">
        <v>10205</v>
      </c>
      <c r="O13" s="26" t="n"/>
    </row>
    <row r="14" hidden="1" ht="15.6" customHeight="1">
      <c r="A14" s="160" t="inlineStr">
        <is>
          <t>Wellington</t>
        </is>
      </c>
      <c r="B14" s="194" t="n"/>
      <c r="C14" s="73" t="n">
        <v>67177.14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60" t="inlineStr">
        <is>
          <t>Hartenbos</t>
        </is>
      </c>
      <c r="B15" s="194" t="n">
        <v>144589.57</v>
      </c>
      <c r="C15" s="73" t="n">
        <v>121573.93</v>
      </c>
      <c r="D15" s="145" t="n">
        <v>149768.1</v>
      </c>
      <c r="E15" s="163">
        <f>IFERROR((SUM(D15-C15)/C15),0)</f>
        <v/>
      </c>
      <c r="F15" s="166" t="n">
        <v>1222</v>
      </c>
      <c r="G15" s="63">
        <f>IFERROR(D15/F15,0)</f>
        <v/>
      </c>
      <c r="H15" s="61" t="n">
        <v>30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/>
      </c>
      <c r="K15" s="172">
        <f>IFERROR(J15/SUM(F15),0)</f>
        <v/>
      </c>
      <c r="L15" s="188" t="n">
        <v>9307.48</v>
      </c>
      <c r="M15" s="89">
        <f>SUM(L15/D15)</f>
        <v/>
      </c>
      <c r="N15" s="130" t="n">
        <v>5057.9</v>
      </c>
      <c r="O15" s="9" t="n"/>
    </row>
    <row r="16" ht="15.6" customHeight="1">
      <c r="A16" s="160" t="inlineStr">
        <is>
          <t>Kyalami Corner</t>
        </is>
      </c>
      <c r="B16" s="194" t="n">
        <v>132180.87</v>
      </c>
      <c r="C16" s="73" t="n">
        <v>108880.84</v>
      </c>
      <c r="D16" s="145" t="n">
        <v>139344.52</v>
      </c>
      <c r="E16" s="163">
        <f>IFERROR((SUM(D16-C16)/C16),0)</f>
        <v/>
      </c>
      <c r="F16" s="166" t="n">
        <v>927</v>
      </c>
      <c r="G16" s="63">
        <f>IFERROR(D16/F16,0)</f>
        <v/>
      </c>
      <c r="H16" s="61" t="n">
        <v>26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/>
      </c>
      <c r="K16" s="172">
        <f>IFERROR(J16/SUM(F16),0)</f>
        <v/>
      </c>
      <c r="L16" s="188" t="n">
        <v>24518.49</v>
      </c>
      <c r="M16" s="89">
        <f>SUM(L16/D16)</f>
        <v/>
      </c>
      <c r="N16" s="130" t="n">
        <v>8495.700000000001</v>
      </c>
      <c r="O16" s="9" t="n"/>
    </row>
    <row r="17" ht="15.6" customHeight="1">
      <c r="A17" s="160" t="inlineStr">
        <is>
          <t>Paulshof</t>
        </is>
      </c>
      <c r="B17" s="194" t="n">
        <v>198741.03</v>
      </c>
      <c r="C17" s="73" t="n">
        <v>199994.64</v>
      </c>
      <c r="D17" s="145" t="n">
        <v>190535.34</v>
      </c>
      <c r="E17" s="163">
        <f>IFERROR((SUM(D17-C17)/C17),0)</f>
        <v/>
      </c>
      <c r="F17" s="166" t="n">
        <v>1397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/>
      </c>
      <c r="K17" s="172">
        <f>IFERROR(J17/SUM(F17),0)</f>
        <v/>
      </c>
      <c r="L17" s="188" t="n">
        <v>36181.17</v>
      </c>
      <c r="M17" s="89">
        <f>SUM(L17/D17)</f>
        <v/>
      </c>
      <c r="N17" s="130" t="n">
        <v>11327.95</v>
      </c>
      <c r="O17" s="9" t="n"/>
    </row>
    <row r="18" ht="16.2" customHeight="1" thickBot="1">
      <c r="A18" s="161" t="inlineStr">
        <is>
          <t>Queenswood</t>
        </is>
      </c>
      <c r="B18" s="195" t="n">
        <v>159131.38</v>
      </c>
      <c r="C18" s="131" t="n"/>
      <c r="D18" s="146" t="n">
        <v>171996.21</v>
      </c>
      <c r="E18" s="164">
        <f>IFERROR((SUM(D18-C18)/C18),0)</f>
        <v/>
      </c>
      <c r="F18" s="167" t="n">
        <v>1363</v>
      </c>
      <c r="G18" s="132">
        <f>IFERROR(D18/F18,0)</f>
        <v/>
      </c>
      <c r="H18" s="133" t="n">
        <v>53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/>
      </c>
      <c r="K18" s="173">
        <f>IFERROR(J18/SUM(F18),0)</f>
        <v/>
      </c>
      <c r="L18" s="189" t="n">
        <v>26935.1</v>
      </c>
      <c r="M18" s="116">
        <f>SUM(L18/D18)</f>
        <v/>
      </c>
      <c r="N18" s="134" t="n">
        <v>3907.25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B7:B18">
    <cfRule type="cellIs" priority="6" operator="equal" dxfId="0">
      <formula>0</formula>
    </cfRule>
  </conditionalFormatting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'26 August - 1 September'!D6</f>
        <v/>
      </c>
      <c r="C6" s="123" t="n">
        <v>213519.69</v>
      </c>
      <c r="D6" s="197" t="n">
        <v>239676.58</v>
      </c>
      <c r="E6" s="162">
        <f>IFERROR((SUM(D6-C6)/C6),0)</f>
        <v/>
      </c>
      <c r="F6" s="165" t="n">
        <v>1836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/>
      </c>
      <c r="K6" s="171">
        <f>IFERROR(J6/SUM(F6),0)</f>
        <v/>
      </c>
      <c r="L6" s="191" t="n">
        <v>39371.04</v>
      </c>
      <c r="M6" s="128">
        <f>SUM(L6/D6)</f>
        <v/>
      </c>
      <c r="N6" s="129" t="n">
        <v>9494.5</v>
      </c>
      <c r="O6" s="26" t="n"/>
    </row>
    <row r="7" ht="15.6" customHeight="1">
      <c r="A7" s="409" t="inlineStr">
        <is>
          <t>Melrose Arch</t>
        </is>
      </c>
      <c r="B7" s="200">
        <f>'26 August - 1 September'!D7</f>
        <v/>
      </c>
      <c r="C7" s="73" t="n">
        <v>186714.6</v>
      </c>
      <c r="D7" s="145" t="n">
        <v>216653.28</v>
      </c>
      <c r="E7" s="163">
        <f>IFERROR((SUM(D7-C7)/C7),0)</f>
        <v/>
      </c>
      <c r="F7" s="166" t="n">
        <v>1408</v>
      </c>
      <c r="G7" s="63">
        <f>IFERROR(D7/F7,0)</f>
        <v/>
      </c>
      <c r="H7" s="61" t="n">
        <v>5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/>
      </c>
      <c r="K7" s="172">
        <f>IFERROR(J7/SUM(F7),0)</f>
        <v/>
      </c>
      <c r="L7" s="188" t="n">
        <v>34814.92</v>
      </c>
      <c r="M7" s="89">
        <f>SUM(L7/D7)</f>
        <v/>
      </c>
      <c r="N7" s="130" t="n">
        <v>30381</v>
      </c>
      <c r="O7" s="26" t="n"/>
    </row>
    <row r="8" ht="15.6" customHeight="1">
      <c r="A8" s="409" t="inlineStr">
        <is>
          <t>Melville</t>
        </is>
      </c>
      <c r="B8" s="200">
        <f>'26 August - 1 September'!D8</f>
        <v/>
      </c>
      <c r="C8" s="73" t="n">
        <v>89849.67</v>
      </c>
      <c r="D8" s="145" t="n">
        <v>120525.49</v>
      </c>
      <c r="E8" s="163">
        <f>IFERROR((SUM(D8-C8)/C8),0)</f>
        <v/>
      </c>
      <c r="F8" s="166" t="n">
        <v>850</v>
      </c>
      <c r="G8" s="63">
        <f>IFERROR(D8/F8,0)</f>
        <v/>
      </c>
      <c r="H8" s="61" t="n">
        <v>11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/>
      </c>
      <c r="K8" s="172">
        <f>IFERROR(J8/SUM(F8),0)</f>
        <v/>
      </c>
      <c r="L8" s="188" t="n">
        <v>32403.81</v>
      </c>
      <c r="M8" s="89">
        <f>SUM(L8/D8)</f>
        <v/>
      </c>
      <c r="N8" s="130" t="n">
        <v>3289</v>
      </c>
      <c r="O8" s="26" t="n"/>
    </row>
    <row r="9" ht="15.6" customHeight="1">
      <c r="A9" s="409" t="inlineStr">
        <is>
          <t>Rosebank</t>
        </is>
      </c>
      <c r="B9" s="200">
        <f>'26 August - 1 September'!D9</f>
        <v/>
      </c>
      <c r="C9" s="73" t="n">
        <v>252212.29</v>
      </c>
      <c r="D9" s="145" t="n">
        <v>320270.55</v>
      </c>
      <c r="E9" s="163">
        <f>IFERROR((SUM(D9-C9)/C9),0)</f>
        <v/>
      </c>
      <c r="F9" s="166" t="n">
        <v>2265</v>
      </c>
      <c r="G9" s="63">
        <f>IFERROR(D9/F9,0)</f>
        <v/>
      </c>
      <c r="H9" s="61" t="n">
        <v>35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/>
      </c>
      <c r="K9" s="172">
        <f>IFERROR(J9/SUM(F9),0)</f>
        <v/>
      </c>
      <c r="L9" s="188" t="n">
        <v>30491.23</v>
      </c>
      <c r="M9" s="89">
        <f>SUM(L9/D9)</f>
        <v/>
      </c>
      <c r="N9" s="130" t="n">
        <v>12253.5</v>
      </c>
      <c r="O9" s="26" t="n"/>
    </row>
    <row r="10" ht="15.6" customHeight="1">
      <c r="A10" s="409" t="inlineStr">
        <is>
          <t xml:space="preserve">Waterkloof </t>
        </is>
      </c>
      <c r="B10" s="200">
        <f>'26 August - 1 September'!D10</f>
        <v/>
      </c>
      <c r="C10" s="73" t="n">
        <v>135890.1</v>
      </c>
      <c r="D10" s="145" t="n">
        <v>146999.51</v>
      </c>
      <c r="E10" s="163">
        <f>IFERROR((SUM(D10-C10)/C10),0)</f>
        <v/>
      </c>
      <c r="F10" s="166" t="n">
        <v>1005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/>
      </c>
      <c r="K10" s="172">
        <f>IFERROR(J10/SUM(F10),0)</f>
        <v/>
      </c>
      <c r="L10" s="188" t="n">
        <v>40128.05</v>
      </c>
      <c r="M10" s="89">
        <f>SUM(L10/D10)</f>
        <v/>
      </c>
      <c r="N10" s="130" t="n">
        <v>8011.75</v>
      </c>
      <c r="O10" s="26" t="n"/>
    </row>
    <row r="11" ht="15.6" customHeight="1">
      <c r="A11" s="409" t="inlineStr">
        <is>
          <t>Eagles Landing</t>
        </is>
      </c>
      <c r="B11" s="200">
        <f>'26 August - 1 September'!D11</f>
        <v/>
      </c>
      <c r="C11" s="73" t="n">
        <v>310234.06</v>
      </c>
      <c r="D11" s="145" t="n">
        <v>328209.32</v>
      </c>
      <c r="E11" s="163">
        <f>IFERROR((SUM(D11-C11)/C11),0)</f>
        <v/>
      </c>
      <c r="F11" s="166" t="n">
        <v>2156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/>
      </c>
      <c r="K11" s="172">
        <f>IFERROR(J11/SUM(F11),0)</f>
        <v/>
      </c>
      <c r="L11" s="188" t="n">
        <v>51209.12</v>
      </c>
      <c r="M11" s="89">
        <f>SUM(L11/D11)</f>
        <v/>
      </c>
      <c r="N11" s="130" t="n">
        <v>18976.9</v>
      </c>
      <c r="O11" s="26" t="n"/>
    </row>
    <row r="12" ht="15.6" customHeight="1">
      <c r="A12" s="198" t="inlineStr">
        <is>
          <t>Stellenbosch</t>
        </is>
      </c>
      <c r="B12" s="200">
        <f>'26 August - 1 September'!D12</f>
        <v/>
      </c>
      <c r="C12" s="73" t="n">
        <v>109276.21</v>
      </c>
      <c r="D12" s="145" t="n">
        <v>145518.2</v>
      </c>
      <c r="E12" s="163">
        <f>IFERROR((SUM(D12-C12)/C12),0)</f>
        <v/>
      </c>
      <c r="F12" s="166" t="n">
        <v>1140</v>
      </c>
      <c r="G12" s="63">
        <f>IFERROR(D12/F12,0)</f>
        <v/>
      </c>
      <c r="H12" s="61" t="n">
        <v>23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/>
      </c>
      <c r="K12" s="172">
        <f>IFERROR(J12/SUM(F12),0)</f>
        <v/>
      </c>
      <c r="L12" s="188" t="n">
        <v>23223.03</v>
      </c>
      <c r="M12" s="89">
        <f>SUM(L12/D12)</f>
        <v/>
      </c>
      <c r="N12" s="130" t="n">
        <v>12570.5</v>
      </c>
      <c r="O12" s="26" t="n"/>
    </row>
    <row r="13" ht="15.6" customHeight="1">
      <c r="A13" s="198" t="inlineStr">
        <is>
          <t>Lynnwood</t>
        </is>
      </c>
      <c r="B13" s="200">
        <f>'26 August - 1 September'!D13</f>
        <v/>
      </c>
      <c r="C13" s="73" t="n">
        <v>214545.41</v>
      </c>
      <c r="D13" s="145" t="n">
        <v>208795.8</v>
      </c>
      <c r="E13" s="202">
        <f>IFERROR((SUM(D13-C13)/C13),0)</f>
        <v/>
      </c>
      <c r="F13" s="166" t="n">
        <v>1556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/>
      </c>
      <c r="K13" s="172">
        <f>IFERROR(J13/SUM(F13),0)</f>
        <v/>
      </c>
      <c r="L13" s="188" t="n">
        <v>41261.92</v>
      </c>
      <c r="M13" s="89">
        <f>SUM(L13/D13)</f>
        <v/>
      </c>
      <c r="N13" s="130" t="n">
        <v>12073.4</v>
      </c>
      <c r="O13" s="26" t="n"/>
    </row>
    <row r="14" hidden="1" ht="15.6" customHeight="1">
      <c r="A14" s="198" t="inlineStr">
        <is>
          <t>Wellington</t>
        </is>
      </c>
      <c r="B14" s="200">
        <f>'26 August - 1 September'!D14</f>
        <v/>
      </c>
      <c r="C14" s="73" t="n">
        <v>61260.32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'26 August - 1 September'!D15</f>
        <v/>
      </c>
      <c r="C15" s="73" t="n">
        <v>130538.82</v>
      </c>
      <c r="D15" s="145" t="n">
        <v>154810.43</v>
      </c>
      <c r="E15" s="163">
        <f>IFERROR((SUM(D15-C15)/C15),0)</f>
        <v/>
      </c>
      <c r="F15" s="166" t="n">
        <v>1290</v>
      </c>
      <c r="G15" s="63">
        <f>IFERROR(D15/F15,0)</f>
        <v/>
      </c>
      <c r="H15" s="61" t="n">
        <v>26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/>
      </c>
      <c r="K15" s="172">
        <f>IFERROR(J15/SUM(F15),0)</f>
        <v/>
      </c>
      <c r="L15" s="188" t="n">
        <v>6961.13</v>
      </c>
      <c r="M15" s="89">
        <f>SUM(L15/D15)</f>
        <v/>
      </c>
      <c r="N15" s="130" t="n">
        <v>6654.1</v>
      </c>
      <c r="O15" s="9" t="n"/>
    </row>
    <row r="16" ht="15.6" customHeight="1">
      <c r="A16" s="198" t="inlineStr">
        <is>
          <t>Kyalami Corner</t>
        </is>
      </c>
      <c r="B16" s="200">
        <f>'26 August - 1 September'!D16</f>
        <v/>
      </c>
      <c r="C16" s="73" t="n">
        <v>118549.89</v>
      </c>
      <c r="D16" s="145" t="n">
        <v>112130.31</v>
      </c>
      <c r="E16" s="202">
        <f>IFERROR((SUM(D16-C16)/C16),0)</f>
        <v/>
      </c>
      <c r="F16" s="166" t="n">
        <v>823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/>
      </c>
      <c r="K16" s="172">
        <f>IFERROR(J16/SUM(F16),0)</f>
        <v/>
      </c>
      <c r="L16" s="188" t="n">
        <v>23542.64</v>
      </c>
      <c r="M16" s="89">
        <f>SUM(L16/D16)</f>
        <v/>
      </c>
      <c r="N16" s="130" t="n">
        <v>10805.6</v>
      </c>
      <c r="O16" s="9" t="n"/>
    </row>
    <row r="17" ht="15.6" customHeight="1">
      <c r="A17" s="198" t="inlineStr">
        <is>
          <t>Paulshof</t>
        </is>
      </c>
      <c r="B17" s="200">
        <f>'26 August - 1 September'!D17</f>
        <v/>
      </c>
      <c r="C17" s="73" t="n">
        <v>194777.78</v>
      </c>
      <c r="D17" s="145" t="n">
        <v>179173.79</v>
      </c>
      <c r="E17" s="202">
        <f>IFERROR((SUM(D17-C17)/C17),0)</f>
        <v/>
      </c>
      <c r="F17" s="166" t="n">
        <v>1204</v>
      </c>
      <c r="G17" s="63">
        <f>IFERROR(D17/F17,0)</f>
        <v/>
      </c>
      <c r="H17" s="61" t="n">
        <v>18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/>
      </c>
      <c r="K17" s="172">
        <f>IFERROR(J17/SUM(F17),0)</f>
        <v/>
      </c>
      <c r="L17" s="188" t="n">
        <v>43769.11</v>
      </c>
      <c r="M17" s="89">
        <f>SUM(L17/D17)</f>
        <v/>
      </c>
      <c r="N17" s="130" t="n">
        <v>10547.52</v>
      </c>
      <c r="O17" s="9" t="n"/>
    </row>
    <row r="18" ht="16.2" customHeight="1" thickBot="1">
      <c r="A18" s="199" t="inlineStr">
        <is>
          <t>Queenswood</t>
        </is>
      </c>
      <c r="B18" s="201">
        <f>'26 August - 1 September'!D18</f>
        <v/>
      </c>
      <c r="C18" s="131" t="n"/>
      <c r="D18" s="146" t="n">
        <v>161486.17</v>
      </c>
      <c r="E18" s="164">
        <f>IFERROR((SUM(D18-C18)/C18),0)</f>
        <v/>
      </c>
      <c r="F18" s="167" t="n">
        <v>1259</v>
      </c>
      <c r="G18" s="132">
        <f>IFERROR(D18/F18,0)</f>
        <v/>
      </c>
      <c r="H18" s="133" t="n">
        <v>58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/>
      </c>
      <c r="K18" s="173">
        <f>IFERROR(J18/SUM(F18),0)</f>
        <v/>
      </c>
      <c r="L18" s="189" t="n">
        <v>26776.12</v>
      </c>
      <c r="M18" s="116">
        <f>SUM(L18/D18)</f>
        <v/>
      </c>
      <c r="N18" s="134" t="n">
        <v>4255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Sept - 8 Sept'!D6</f>
        <v/>
      </c>
      <c r="C6" s="123" t="n">
        <v>217042.11</v>
      </c>
      <c r="D6" s="197" t="n">
        <v>239200.57</v>
      </c>
      <c r="E6" s="162">
        <f>IFERROR((SUM(D6-C6)/C6),0)</f>
        <v/>
      </c>
      <c r="F6" s="165" t="n">
        <v>1864</v>
      </c>
      <c r="G6" s="124">
        <f>IFERROR(D6/F6,0)</f>
        <v/>
      </c>
      <c r="H6" s="125" t="n">
        <v>31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/>
      </c>
      <c r="K6" s="171">
        <f>IFERROR(J6/SUM(F6),0)</f>
        <v/>
      </c>
      <c r="L6" s="191" t="n">
        <v>36089.83</v>
      </c>
      <c r="M6" s="128">
        <f>SUM(L6/D6)</f>
        <v/>
      </c>
      <c r="N6" s="129" t="n">
        <v>12340.5</v>
      </c>
      <c r="O6" s="26" t="n"/>
    </row>
    <row r="7" ht="15.6" customHeight="1">
      <c r="A7" s="409" t="inlineStr">
        <is>
          <t>Melrose Arch</t>
        </is>
      </c>
      <c r="B7" s="200">
        <f>'2 Sept - 8 Sept'!D7</f>
        <v/>
      </c>
      <c r="C7" s="73" t="n">
        <v>173402.6</v>
      </c>
      <c r="D7" s="145" t="n">
        <v>229551.86</v>
      </c>
      <c r="E7" s="163">
        <f>IFERROR((SUM(D7-C7)/C7),0)</f>
        <v/>
      </c>
      <c r="F7" s="166" t="n">
        <v>1513</v>
      </c>
      <c r="G7" s="63">
        <f>IFERROR(D7/F7,0)</f>
        <v/>
      </c>
      <c r="H7" s="61" t="n">
        <v>8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/>
      </c>
      <c r="K7" s="172">
        <f>IFERROR(J7/SUM(F7),0)</f>
        <v/>
      </c>
      <c r="L7" s="188" t="n">
        <v>30667.41</v>
      </c>
      <c r="M7" s="89">
        <f>SUM(L7/D7)</f>
        <v/>
      </c>
      <c r="N7" s="130" t="n">
        <v>14187.4</v>
      </c>
      <c r="O7" s="26" t="n"/>
    </row>
    <row r="8" ht="15.6" customHeight="1">
      <c r="A8" s="409" t="inlineStr">
        <is>
          <t>Melville</t>
        </is>
      </c>
      <c r="B8" s="200">
        <f>'2 Sept - 8 Sept'!D8</f>
        <v/>
      </c>
      <c r="C8" s="73" t="n">
        <v>82418.49000000001</v>
      </c>
      <c r="D8" s="145" t="n">
        <v>100323.41</v>
      </c>
      <c r="E8" s="163">
        <f>IFERROR((SUM(D8-C8)/C8),0)</f>
        <v/>
      </c>
      <c r="F8" s="166" t="n">
        <v>680</v>
      </c>
      <c r="G8" s="63">
        <f>IFERROR(D8/F8,0)</f>
        <v/>
      </c>
      <c r="H8" s="61" t="n">
        <v>9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/>
      </c>
      <c r="K8" s="172">
        <f>IFERROR(J8/SUM(F8),0)</f>
        <v/>
      </c>
      <c r="L8" s="188" t="n">
        <v>33547.82</v>
      </c>
      <c r="M8" s="89">
        <f>SUM(L8/D8)</f>
        <v/>
      </c>
      <c r="N8" s="130" t="n">
        <v>5293.9</v>
      </c>
      <c r="O8" s="26" t="n"/>
    </row>
    <row r="9" ht="15.6" customHeight="1">
      <c r="A9" s="409" t="inlineStr">
        <is>
          <t>Rosebank</t>
        </is>
      </c>
      <c r="B9" s="200">
        <f>'2 Sept - 8 Sept'!D9</f>
        <v/>
      </c>
      <c r="C9" s="73" t="n">
        <v>272478.73</v>
      </c>
      <c r="D9" s="145" t="n">
        <v>313819.25</v>
      </c>
      <c r="E9" s="163">
        <f>IFERROR((SUM(D9-C9)/C9),0)</f>
        <v/>
      </c>
      <c r="F9" s="166" t="n">
        <v>2308</v>
      </c>
      <c r="G9" s="63">
        <f>IFERROR(D9/F9,0)</f>
        <v/>
      </c>
      <c r="H9" s="61" t="n">
        <v>18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/>
      </c>
      <c r="K9" s="172">
        <f>IFERROR(J9/SUM(F9),0)</f>
        <v/>
      </c>
      <c r="L9" s="188" t="n">
        <v>24670.71</v>
      </c>
      <c r="M9" s="89">
        <f>SUM(L9/D9)</f>
        <v/>
      </c>
      <c r="N9" s="130" t="n">
        <v>12374.18</v>
      </c>
      <c r="O9" s="26" t="n"/>
    </row>
    <row r="10" ht="15.6" customHeight="1">
      <c r="A10" s="409" t="inlineStr">
        <is>
          <t xml:space="preserve">Waterkloof </t>
        </is>
      </c>
      <c r="B10" s="200">
        <f>'2 Sept - 8 Sept'!D10</f>
        <v/>
      </c>
      <c r="C10" s="73" t="n">
        <v>143496.9</v>
      </c>
      <c r="D10" s="145" t="n">
        <v>143750.61</v>
      </c>
      <c r="E10" s="163">
        <f>IFERROR((SUM(D10-C10)/C10),0)</f>
        <v/>
      </c>
      <c r="F10" s="166" t="n">
        <v>1002</v>
      </c>
      <c r="G10" s="63">
        <f>IFERROR(D10/F10,0)</f>
        <v/>
      </c>
      <c r="H10" s="61" t="n">
        <v>14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/>
      </c>
      <c r="K10" s="172">
        <f>IFERROR(J10/SUM(F10),0)</f>
        <v/>
      </c>
      <c r="L10" s="188" t="n">
        <v>39819.9</v>
      </c>
      <c r="M10" s="89">
        <f>SUM(L10/D10)</f>
        <v/>
      </c>
      <c r="N10" s="130" t="n">
        <v>7900.6</v>
      </c>
      <c r="O10" s="26" t="n"/>
    </row>
    <row r="11" ht="15.6" customHeight="1">
      <c r="A11" s="409" t="inlineStr">
        <is>
          <t>Eagles Landing</t>
        </is>
      </c>
      <c r="B11" s="200">
        <f>'2 Sept - 8 Sept'!D11</f>
        <v/>
      </c>
      <c r="C11" s="73" t="n">
        <v>317744.93</v>
      </c>
      <c r="D11" s="145" t="n">
        <v>326839.88</v>
      </c>
      <c r="E11" s="163">
        <f>IFERROR((SUM(D11-C11)/C11),0)</f>
        <v/>
      </c>
      <c r="F11" s="166" t="n">
        <v>2122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/>
      </c>
      <c r="K11" s="172">
        <f>IFERROR(J11/SUM(F11),0)</f>
        <v/>
      </c>
      <c r="L11" s="188" t="n">
        <v>42775.28</v>
      </c>
      <c r="M11" s="89">
        <f>SUM(L11/D11)</f>
        <v/>
      </c>
      <c r="N11" s="130" t="n">
        <v>21698.8</v>
      </c>
      <c r="O11" s="26" t="n"/>
    </row>
    <row r="12" ht="15.6" customHeight="1">
      <c r="A12" s="198" t="inlineStr">
        <is>
          <t>Stellenbosch</t>
        </is>
      </c>
      <c r="B12" s="200">
        <f>'2 Sept - 8 Sept'!D12</f>
        <v/>
      </c>
      <c r="C12" s="73" t="n">
        <v>118270.43</v>
      </c>
      <c r="D12" s="145" t="n">
        <v>125103.86</v>
      </c>
      <c r="E12" s="163">
        <f>IFERROR((SUM(D12-C12)/C12),0)</f>
        <v/>
      </c>
      <c r="F12" s="166" t="n">
        <v>1022</v>
      </c>
      <c r="G12" s="63">
        <f>IFERROR(D12/F12,0)</f>
        <v/>
      </c>
      <c r="H12" s="61" t="n">
        <v>20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/>
      </c>
      <c r="K12" s="172">
        <f>IFERROR(J12/SUM(F12),0)</f>
        <v/>
      </c>
      <c r="L12" s="188" t="n">
        <v>19957.93</v>
      </c>
      <c r="M12" s="89">
        <f>SUM(L12/D12)</f>
        <v/>
      </c>
      <c r="N12" s="130" t="n">
        <v>10610.35</v>
      </c>
      <c r="O12" s="26" t="n"/>
    </row>
    <row r="13" ht="15.6" customHeight="1">
      <c r="A13" s="198" t="inlineStr">
        <is>
          <t>Lynnwood</t>
        </is>
      </c>
      <c r="B13" s="200">
        <f>'2 Sept - 8 Sept'!D13</f>
        <v/>
      </c>
      <c r="C13" s="73" t="n">
        <v>189134.68</v>
      </c>
      <c r="D13" s="145" t="n">
        <v>193711.92</v>
      </c>
      <c r="E13" s="163">
        <f>IFERROR((SUM(D13-C13)/C13),0)</f>
        <v/>
      </c>
      <c r="F13" s="166" t="n">
        <v>1512</v>
      </c>
      <c r="G13" s="63">
        <f>IFERROR(D13/F13,0)</f>
        <v/>
      </c>
      <c r="H13" s="61" t="n">
        <v>30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/>
      </c>
      <c r="K13" s="172">
        <f>IFERROR(J13/SUM(F13),0)</f>
        <v/>
      </c>
      <c r="L13" s="188" t="n">
        <v>31386.9</v>
      </c>
      <c r="M13" s="89">
        <f>SUM(L13/D13)</f>
        <v/>
      </c>
      <c r="N13" s="130" t="n">
        <v>8776.700000000001</v>
      </c>
      <c r="O13" s="26" t="n"/>
    </row>
    <row r="14" hidden="1" ht="15.6" customHeight="1">
      <c r="A14" s="198" t="inlineStr">
        <is>
          <t>Wellington</t>
        </is>
      </c>
      <c r="B14" s="200">
        <f>'2 Sept - 8 Sept'!D14</f>
        <v/>
      </c>
      <c r="C14" s="73" t="n">
        <v>63439.43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Sept - 8 Sept'!D15</f>
        <v/>
      </c>
      <c r="C15" s="73" t="n">
        <v>142475.23</v>
      </c>
      <c r="D15" s="145" t="n">
        <v>146744.19</v>
      </c>
      <c r="E15" s="163">
        <f>IFERROR((SUM(D15-C15)/C15),0)</f>
        <v/>
      </c>
      <c r="F15" s="166" t="n">
        <v>1263</v>
      </c>
      <c r="G15" s="63">
        <f>IFERROR(D15/F15,0)</f>
        <v/>
      </c>
      <c r="H15" s="61" t="n">
        <v>34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/>
      </c>
      <c r="K15" s="172">
        <f>IFERROR(J15/SUM(F15),0)</f>
        <v/>
      </c>
      <c r="L15" s="188" t="n">
        <v>9053.91</v>
      </c>
      <c r="M15" s="89">
        <f>SUM(L15/D15)</f>
        <v/>
      </c>
      <c r="N15" s="130" t="n">
        <v>5460.1</v>
      </c>
      <c r="O15" s="9" t="n"/>
    </row>
    <row r="16" ht="15.6" customHeight="1">
      <c r="A16" s="198" t="inlineStr">
        <is>
          <t>Kyalami Corner</t>
        </is>
      </c>
      <c r="B16" s="200">
        <f>'2 Sept - 8 Sept'!D16</f>
        <v/>
      </c>
      <c r="C16" s="73" t="n">
        <v>114165.74</v>
      </c>
      <c r="D16" s="145" t="n">
        <v>124313.82</v>
      </c>
      <c r="E16" s="163">
        <f>IFERROR((SUM(D16-C16)/C16),0)</f>
        <v/>
      </c>
      <c r="F16" s="166" t="n">
        <v>832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/>
      </c>
      <c r="K16" s="172">
        <f>IFERROR(J16/SUM(F16),0)</f>
        <v/>
      </c>
      <c r="L16" s="188" t="n">
        <v>23866.16</v>
      </c>
      <c r="M16" s="89">
        <f>SUM(L16/D16)</f>
        <v/>
      </c>
      <c r="N16" s="130" t="n">
        <v>9167</v>
      </c>
      <c r="O16" s="9" t="n"/>
    </row>
    <row r="17" ht="15.6" customHeight="1">
      <c r="A17" s="198" t="inlineStr">
        <is>
          <t>Paulshof</t>
        </is>
      </c>
      <c r="B17" s="200">
        <f>'2 Sept - 8 Sept'!D17</f>
        <v/>
      </c>
      <c r="C17" s="73" t="n">
        <v>208719</v>
      </c>
      <c r="D17" s="145" t="n">
        <v>218690.87</v>
      </c>
      <c r="E17" s="163">
        <f>IFERROR((SUM(D17-C17)/C17),0)</f>
        <v/>
      </c>
      <c r="F17" s="166" t="n">
        <v>1404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/>
      </c>
      <c r="K17" s="172">
        <f>IFERROR(J17/SUM(F17),0)</f>
        <v/>
      </c>
      <c r="L17" s="188" t="n">
        <v>37606.71</v>
      </c>
      <c r="M17" s="89">
        <f>SUM(L17/D17)</f>
        <v/>
      </c>
      <c r="N17" s="130" t="n">
        <v>8425.049999999999</v>
      </c>
      <c r="O17" s="9" t="n"/>
    </row>
    <row r="18" ht="16.2" customHeight="1" thickBot="1">
      <c r="A18" s="199" t="inlineStr">
        <is>
          <t>Queenswood</t>
        </is>
      </c>
      <c r="B18" s="200">
        <f>'2 Sept - 8 Sept'!D18</f>
        <v/>
      </c>
      <c r="C18" s="131" t="n"/>
      <c r="D18" s="146" t="n">
        <v>154325.2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47</v>
      </c>
      <c r="I18" s="170">
        <f>IFERROR(H18/F18,0)</f>
        <v/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/>
      </c>
      <c r="K18" s="173">
        <f>IFERROR(J18/SUM(F18),0)</f>
        <v/>
      </c>
      <c r="L18" s="189" t="n">
        <v>19754</v>
      </c>
      <c r="M18" s="116">
        <f>SUM(L18/D18)</f>
        <v/>
      </c>
      <c r="N18" s="134" t="n">
        <v>3506.3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Sept - 15 Sept'!B6</f>
        <v/>
      </c>
      <c r="C6" s="123" t="n">
        <v>247678.19</v>
      </c>
      <c r="D6" s="197" t="n">
        <v>225559.84</v>
      </c>
      <c r="E6" s="162">
        <f>IFERROR((SUM(D6-C6)/C6),0)</f>
        <v/>
      </c>
      <c r="F6" s="165" t="n">
        <v>1874</v>
      </c>
      <c r="G6" s="124">
        <f>IFERROR(D6/F6,0)</f>
        <v/>
      </c>
      <c r="H6" s="125" t="n">
        <v>26</v>
      </c>
      <c r="I6" s="168">
        <f>IFERROR(H6/F6,0)</f>
        <v/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/>
      </c>
      <c r="K6" s="171">
        <f>IFERROR(J6/SUM(F6),0)</f>
        <v/>
      </c>
      <c r="L6" s="191" t="n">
        <v>37205.87</v>
      </c>
      <c r="M6" s="128">
        <f>SUM(L6/D6)</f>
        <v/>
      </c>
      <c r="N6" s="129" t="n">
        <v>11723</v>
      </c>
      <c r="O6" s="26" t="n"/>
    </row>
    <row r="7" ht="15.6" customHeight="1">
      <c r="A7" s="409" t="inlineStr">
        <is>
          <t>Melrose Arch</t>
        </is>
      </c>
      <c r="B7" s="200">
        <f>'9 Sept - 15 Sept'!B7</f>
        <v/>
      </c>
      <c r="C7" s="73" t="n">
        <v>167848.11</v>
      </c>
      <c r="D7" s="145" t="n">
        <v>224151.46</v>
      </c>
      <c r="E7" s="163">
        <f>IFERROR((SUM(D7-C7)/C7),0)</f>
        <v/>
      </c>
      <c r="F7" s="166" t="n">
        <v>1576</v>
      </c>
      <c r="G7" s="63">
        <f>IFERROR(D7/F7,0)</f>
        <v/>
      </c>
      <c r="H7" s="61" t="n">
        <v>7</v>
      </c>
      <c r="I7" s="169">
        <f>IFERROR(H7/F7,0)</f>
        <v/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/>
      </c>
      <c r="K7" s="172">
        <f>IFERROR(J7/SUM(F7),0)</f>
        <v/>
      </c>
      <c r="L7" s="188" t="n">
        <v>36132.37</v>
      </c>
      <c r="M7" s="89">
        <f>SUM(L7/D7)</f>
        <v/>
      </c>
      <c r="N7" s="130" t="n">
        <v>14333.05</v>
      </c>
      <c r="O7" s="26" t="n"/>
    </row>
    <row r="8" ht="15.6" customHeight="1">
      <c r="A8" s="409" t="inlineStr">
        <is>
          <t>Melville</t>
        </is>
      </c>
      <c r="B8" s="200">
        <f>'9 Sept - 15 Sept'!B8</f>
        <v/>
      </c>
      <c r="C8" s="73" t="n">
        <v>109260.78</v>
      </c>
      <c r="D8" s="145" t="n">
        <v>96532.63</v>
      </c>
      <c r="E8" s="163">
        <f>IFERROR((SUM(D8-C8)/C8),0)</f>
        <v/>
      </c>
      <c r="F8" s="166" t="n">
        <v>703</v>
      </c>
      <c r="G8" s="63">
        <f>IFERROR(D8/F8,0)</f>
        <v/>
      </c>
      <c r="H8" s="61" t="n">
        <v>5</v>
      </c>
      <c r="I8" s="169">
        <f>IFERROR(H8/F8,0)</f>
        <v/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/>
      </c>
      <c r="K8" s="172">
        <f>IFERROR(J8/SUM(F8),0)</f>
        <v/>
      </c>
      <c r="L8" s="188" t="n">
        <v>32743.44</v>
      </c>
      <c r="M8" s="89">
        <f>SUM(L8/D8)</f>
        <v/>
      </c>
      <c r="N8" s="130" t="n">
        <v>5314</v>
      </c>
      <c r="O8" s="26" t="n"/>
    </row>
    <row r="9" ht="15.6" customHeight="1">
      <c r="A9" s="409" t="inlineStr">
        <is>
          <t>Rosebank</t>
        </is>
      </c>
      <c r="B9" s="200">
        <f>'9 Sept - 15 Sept'!B9</f>
        <v/>
      </c>
      <c r="C9" s="73" t="n">
        <v>289688.55</v>
      </c>
      <c r="D9" s="145" t="n">
        <v>319714.43</v>
      </c>
      <c r="E9" s="163">
        <f>IFERROR((SUM(D9-C9)/C9),0)</f>
        <v/>
      </c>
      <c r="F9" s="166" t="n">
        <v>2259</v>
      </c>
      <c r="G9" s="63">
        <f>IFERROR(D9/F9,0)</f>
        <v/>
      </c>
      <c r="H9" s="61" t="n">
        <v>24</v>
      </c>
      <c r="I9" s="169">
        <f>IFERROR(H9/F9,0)</f>
        <v/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/>
      </c>
      <c r="K9" s="172">
        <f>IFERROR(J9/SUM(F9),0)</f>
        <v/>
      </c>
      <c r="L9" s="188" t="n">
        <v>29064.03</v>
      </c>
      <c r="M9" s="89">
        <f>SUM(L9/D9)</f>
        <v/>
      </c>
      <c r="N9" s="130" t="n">
        <v>13020.6</v>
      </c>
      <c r="O9" s="26" t="n"/>
    </row>
    <row r="10" ht="15.6" customHeight="1">
      <c r="A10" s="409" t="inlineStr">
        <is>
          <t xml:space="preserve">Waterkloof </t>
        </is>
      </c>
      <c r="B10" s="200">
        <f>'9 Sept - 15 Sept'!B10</f>
        <v/>
      </c>
      <c r="C10" s="73" t="n">
        <v>122339.05</v>
      </c>
      <c r="D10" s="145" t="n">
        <v>139152.81</v>
      </c>
      <c r="E10" s="163">
        <f>IFERROR((SUM(D10-C10)/C10),0)</f>
        <v/>
      </c>
      <c r="F10" s="166" t="n">
        <v>980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/>
      </c>
      <c r="K10" s="172">
        <f>IFERROR(J10/SUM(F10),0)</f>
        <v/>
      </c>
      <c r="L10" s="188" t="n">
        <v>38889.09</v>
      </c>
      <c r="M10" s="89">
        <f>SUM(L10/D10)</f>
        <v/>
      </c>
      <c r="N10" s="130" t="n">
        <v>7061.5</v>
      </c>
      <c r="O10" s="26" t="n"/>
    </row>
    <row r="11" ht="15.6" customHeight="1">
      <c r="A11" s="409" t="inlineStr">
        <is>
          <t>Eagles Landing</t>
        </is>
      </c>
      <c r="B11" s="200">
        <f>'9 Sept - 15 Sept'!B11</f>
        <v/>
      </c>
      <c r="C11" s="73" t="n">
        <v>304645.56</v>
      </c>
      <c r="D11" s="145" t="n">
        <v>285384</v>
      </c>
      <c r="E11" s="163">
        <f>IFERROR((SUM(D11-C11)/C11),0)</f>
        <v/>
      </c>
      <c r="F11" s="166" t="n">
        <v>2021</v>
      </c>
      <c r="G11" s="63">
        <f>IFERROR(D11/F11,0)</f>
        <v/>
      </c>
      <c r="H11" s="61" t="n">
        <v>25</v>
      </c>
      <c r="I11" s="169">
        <f>IFERROR(H11/F11,0)</f>
        <v/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/>
      </c>
      <c r="K11" s="172">
        <f>IFERROR(J11/SUM(F11),0)</f>
        <v/>
      </c>
      <c r="L11" s="188" t="n">
        <v>49514.72</v>
      </c>
      <c r="M11" s="89">
        <f>SUM(L11/D11)</f>
        <v/>
      </c>
      <c r="N11" s="130" t="n">
        <v>18643.2</v>
      </c>
      <c r="O11" s="26" t="n"/>
    </row>
    <row r="12" ht="15.6" customHeight="1">
      <c r="A12" s="198" t="inlineStr">
        <is>
          <t>Stellenbosch</t>
        </is>
      </c>
      <c r="B12" s="200">
        <f>'9 Sept - 15 Sept'!B12</f>
        <v/>
      </c>
      <c r="C12" s="73" t="n">
        <v>142460.76</v>
      </c>
      <c r="D12" s="145" t="n">
        <v>131916.09</v>
      </c>
      <c r="E12" s="163">
        <f>IFERROR((SUM(D12-C12)/C12),0)</f>
        <v/>
      </c>
      <c r="F12" s="166" t="n">
        <v>1029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/>
      </c>
      <c r="K12" s="172">
        <f>IFERROR(J12/SUM(F12),0)</f>
        <v/>
      </c>
      <c r="L12" s="188" t="n">
        <v>16756.83</v>
      </c>
      <c r="M12" s="89">
        <f>SUM(L12/D12)</f>
        <v/>
      </c>
      <c r="N12" s="130" t="n">
        <v>11912.7</v>
      </c>
      <c r="O12" s="26" t="n"/>
    </row>
    <row r="13" ht="15.6" customHeight="1">
      <c r="A13" s="198" t="inlineStr">
        <is>
          <t>Lynnwood</t>
        </is>
      </c>
      <c r="B13" s="200">
        <f>'9 Sept - 15 Sept'!B13</f>
        <v/>
      </c>
      <c r="C13" s="73" t="n">
        <v>207479.69</v>
      </c>
      <c r="D13" s="145" t="n">
        <v>171225.27</v>
      </c>
      <c r="E13" s="163">
        <f>IFERROR((SUM(D13-C13)/C13),0)</f>
        <v/>
      </c>
      <c r="F13" s="166" t="n">
        <v>1353</v>
      </c>
      <c r="G13" s="63">
        <f>IFERROR(D13/F13,0)</f>
        <v/>
      </c>
      <c r="H13" s="61" t="n">
        <v>45</v>
      </c>
      <c r="I13" s="169">
        <f>IFERROR(H13/F13,0)</f>
        <v/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/>
      </c>
      <c r="K13" s="172">
        <f>IFERROR(J13/SUM(F13),0)</f>
        <v/>
      </c>
      <c r="L13" s="188" t="n">
        <v>33332.92</v>
      </c>
      <c r="M13" s="89">
        <f>SUM(L13/D13)</f>
        <v/>
      </c>
      <c r="N13" s="130" t="n">
        <v>9824.5</v>
      </c>
      <c r="O13" s="26" t="n"/>
    </row>
    <row r="14" hidden="1" ht="15.6" customHeight="1">
      <c r="A14" s="198" t="inlineStr">
        <is>
          <t>Wellington</t>
        </is>
      </c>
      <c r="B14" s="200">
        <f>'9 Sept - 15 Sept'!B14</f>
        <v/>
      </c>
      <c r="C14" s="73" t="n">
        <v>87154.07000000001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Sept - 15 Sept'!B15</f>
        <v/>
      </c>
      <c r="C15" s="73" t="n">
        <v>170711.07</v>
      </c>
      <c r="D15" s="145" t="n">
        <v>243243.69</v>
      </c>
      <c r="E15" s="163">
        <f>IFERROR((SUM(D15-C15)/C15),0)</f>
        <v/>
      </c>
      <c r="F15" s="166" t="n">
        <v>2134</v>
      </c>
      <c r="G15" s="63">
        <f>IFERROR(D15/F15,0)</f>
        <v/>
      </c>
      <c r="H15" s="61" t="n">
        <v>31</v>
      </c>
      <c r="I15" s="169">
        <f>IFERROR(H15/F15,0)</f>
        <v/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/>
      </c>
      <c r="K15" s="172">
        <f>IFERROR(J15/SUM(F15),0)</f>
        <v/>
      </c>
      <c r="L15" s="188" t="n">
        <v>13109.3</v>
      </c>
      <c r="M15" s="89">
        <f>SUM(L15/D15)</f>
        <v/>
      </c>
      <c r="N15" s="130" t="n">
        <v>11346.15</v>
      </c>
      <c r="O15" s="9" t="n"/>
    </row>
    <row r="16" ht="15.6" customHeight="1">
      <c r="A16" s="198" t="inlineStr">
        <is>
          <t>Kyalami Corner</t>
        </is>
      </c>
      <c r="B16" s="200">
        <f>'9 Sept - 15 Sept'!B16</f>
        <v/>
      </c>
      <c r="C16" s="73" t="n">
        <v>115245.6</v>
      </c>
      <c r="D16" s="145" t="n">
        <v>115075.28</v>
      </c>
      <c r="E16" s="163">
        <f>IFERROR((SUM(D16-C16)/C16),0)</f>
        <v/>
      </c>
      <c r="F16" s="166" t="n">
        <v>801</v>
      </c>
      <c r="G16" s="63">
        <f>IFERROR(D16/F16,0)</f>
        <v/>
      </c>
      <c r="H16" s="61" t="n">
        <v>13</v>
      </c>
      <c r="I16" s="169">
        <f>IFERROR(H16/F16,0)</f>
        <v/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/>
      </c>
      <c r="K16" s="172">
        <f>IFERROR(J16/SUM(F16),0)</f>
        <v/>
      </c>
      <c r="L16" s="188" t="n">
        <v>22744.28</v>
      </c>
      <c r="M16" s="89">
        <f>SUM(L16/D16)</f>
        <v/>
      </c>
      <c r="N16" s="130" t="n">
        <v>13343.8</v>
      </c>
      <c r="O16" s="9" t="n"/>
    </row>
    <row r="17" ht="15.6" customHeight="1">
      <c r="A17" s="198" t="inlineStr">
        <is>
          <t>Paulshof</t>
        </is>
      </c>
      <c r="B17" s="200">
        <f>'9 Sept - 15 Sept'!B17</f>
        <v/>
      </c>
      <c r="C17" s="73" t="n">
        <v>203495.83</v>
      </c>
      <c r="D17" s="145" t="n">
        <v>213804.3</v>
      </c>
      <c r="E17" s="163">
        <f>IFERROR((SUM(D17-C17)/C17),0)</f>
        <v/>
      </c>
      <c r="F17" s="166" t="n">
        <v>1341</v>
      </c>
      <c r="G17" s="63">
        <f>IFERROR(D17/F17,0)</f>
        <v/>
      </c>
      <c r="H17" s="61" t="n">
        <v>31</v>
      </c>
      <c r="I17" s="169">
        <f>IFERROR(H17/F17,0)</f>
        <v/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/>
      </c>
      <c r="K17" s="172">
        <f>IFERROR(J17/SUM(F17),0)</f>
        <v/>
      </c>
      <c r="L17" s="188" t="n">
        <v>41923.74</v>
      </c>
      <c r="M17" s="89">
        <f>SUM(L17/D17)</f>
        <v/>
      </c>
      <c r="N17" s="130" t="n">
        <v>12746.3</v>
      </c>
      <c r="O17" s="9" t="n"/>
    </row>
    <row r="18" ht="16.2" customHeight="1" thickBot="1">
      <c r="A18" s="199" t="inlineStr">
        <is>
          <t>Queenswood</t>
        </is>
      </c>
      <c r="B18" s="201">
        <f>'9 Sept - 15 Sept'!B18</f>
        <v/>
      </c>
      <c r="C18" s="131" t="n"/>
      <c r="D18" s="146" t="n">
        <v>155970.38</v>
      </c>
      <c r="E18" s="164">
        <f>IFERROR((SUM(D18-C18)/C18),0)</f>
        <v/>
      </c>
      <c r="F18" s="167" t="n">
        <v>1278</v>
      </c>
      <c r="G18" s="132">
        <f>IFERROR(D18/F18,0)</f>
        <v/>
      </c>
      <c r="H18" s="133" t="n">
        <v>52</v>
      </c>
      <c r="I18" s="170">
        <f>IFERROR(H18/F18,0)</f>
        <v/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/>
      </c>
      <c r="K18" s="173">
        <f>IFERROR(J18/SUM(F18),0)</f>
        <v/>
      </c>
      <c r="L18" s="189" t="n">
        <v>19754.69</v>
      </c>
      <c r="M18" s="116">
        <f>SUM(L18/D18)</f>
        <v/>
      </c>
      <c r="N18" s="134" t="n">
        <v>2386.5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Sept - 22 Sept'!D6</f>
        <v/>
      </c>
      <c r="C6" s="123" t="n">
        <v>284082.02</v>
      </c>
      <c r="D6" s="197" t="n">
        <v>313795.07</v>
      </c>
      <c r="E6" s="162">
        <f>IFERROR((SUM(D6-C6)/C6),0)</f>
        <v/>
      </c>
      <c r="F6" s="165" t="n">
        <v>2502</v>
      </c>
      <c r="G6" s="124">
        <f>IFERROR(D6/F6,0)</f>
        <v/>
      </c>
      <c r="H6" s="125" t="n">
        <v>128</v>
      </c>
      <c r="I6" s="168">
        <f>IFERROR(H6/F6,0)</f>
        <v/>
      </c>
      <c r="J6" s="46">
        <f>SUM(62+H6)</f>
        <v/>
      </c>
      <c r="K6" s="171">
        <f>IFERROR(J6/SUM(F6),0)</f>
        <v/>
      </c>
      <c r="L6" s="191" t="n">
        <v>49225.63</v>
      </c>
      <c r="M6" s="128">
        <f>SUM(L6/D6)</f>
        <v/>
      </c>
      <c r="N6" s="129" t="n">
        <v>15778.1</v>
      </c>
      <c r="O6" s="26" t="n"/>
    </row>
    <row r="7" ht="15.6" customHeight="1">
      <c r="A7" s="409" t="inlineStr">
        <is>
          <t>Melrose Arch</t>
        </is>
      </c>
      <c r="B7" s="200">
        <f>'16 Sept - 22 Sept'!D7</f>
        <v/>
      </c>
      <c r="C7" s="73" t="n">
        <v>196824.83</v>
      </c>
      <c r="D7" s="145" t="n">
        <v>220920.76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112</v>
      </c>
      <c r="I7" s="169">
        <f>IFERROR(H7/F7,0)</f>
        <v/>
      </c>
      <c r="J7" s="46">
        <f>SUM(65+H7)</f>
        <v/>
      </c>
      <c r="K7" s="172">
        <f>IFERROR(J7/SUM(F7),0)</f>
        <v/>
      </c>
      <c r="L7" s="188" t="n">
        <v>34942.77</v>
      </c>
      <c r="M7" s="89">
        <f>SUM(L7/D7)</f>
        <v/>
      </c>
      <c r="N7" s="130" t="n">
        <v>14480</v>
      </c>
      <c r="O7" s="26" t="n"/>
    </row>
    <row r="8" ht="15.6" customHeight="1">
      <c r="A8" s="409" t="inlineStr">
        <is>
          <t>Melville</t>
        </is>
      </c>
      <c r="B8" s="200">
        <f>'16 Sept - 22 Sept'!D8</f>
        <v/>
      </c>
      <c r="C8" s="73" t="n">
        <v>113236.98</v>
      </c>
      <c r="D8" s="145" t="n">
        <v>112847.78</v>
      </c>
      <c r="E8" s="163">
        <f>IFERROR((SUM(D8-C8)/C8),0)</f>
        <v/>
      </c>
      <c r="F8" s="166" t="n">
        <v>758</v>
      </c>
      <c r="G8" s="63">
        <f>IFERROR(D8/F8,0)</f>
        <v/>
      </c>
      <c r="H8" s="61" t="n">
        <v>64</v>
      </c>
      <c r="I8" s="169">
        <f>IFERROR(H8/F8,0)</f>
        <v/>
      </c>
      <c r="J8" s="46">
        <f>SUM(41+H8)</f>
        <v/>
      </c>
      <c r="K8" s="172">
        <f>IFERROR(J8/SUM(F8),0)</f>
        <v/>
      </c>
      <c r="L8" s="188" t="n">
        <v>40955.16</v>
      </c>
      <c r="M8" s="89">
        <f>SUM(L8/D8)</f>
        <v/>
      </c>
      <c r="N8" s="130" t="n">
        <v>4270.2</v>
      </c>
      <c r="O8" s="26" t="n"/>
    </row>
    <row r="9" ht="15.6" customHeight="1">
      <c r="A9" s="409" t="inlineStr">
        <is>
          <t>Rosebank</t>
        </is>
      </c>
      <c r="B9" s="200">
        <f>'16 Sept - 22 Sept'!D9</f>
        <v/>
      </c>
      <c r="C9" s="73" t="n">
        <v>351551.09</v>
      </c>
      <c r="D9" s="145" t="n">
        <v>363369.98</v>
      </c>
      <c r="E9" s="163">
        <f>IFERROR((SUM(D9-C9)/C9),0)</f>
        <v/>
      </c>
      <c r="F9" s="166" t="n">
        <v>2561</v>
      </c>
      <c r="G9" s="63">
        <f>IFERROR(D9/F9,0)</f>
        <v/>
      </c>
      <c r="H9" s="61" t="n">
        <v>87</v>
      </c>
      <c r="I9" s="169">
        <f>IFERROR(H9/F9,0)</f>
        <v/>
      </c>
      <c r="J9" s="46">
        <f>SUM(60+H9)</f>
        <v/>
      </c>
      <c r="K9" s="172">
        <f>IFERROR(J9/SUM(F9),0)</f>
        <v/>
      </c>
      <c r="L9" s="188" t="n">
        <v>31535.14</v>
      </c>
      <c r="M9" s="89">
        <f>SUM(L9/D9)</f>
        <v/>
      </c>
      <c r="N9" s="130" t="n">
        <v>12876.96</v>
      </c>
      <c r="O9" s="26" t="n"/>
    </row>
    <row r="10" ht="15.6" customHeight="1">
      <c r="A10" s="409" t="inlineStr">
        <is>
          <t xml:space="preserve">Waterkloof </t>
        </is>
      </c>
      <c r="B10" s="200">
        <f>'16 Sept - 22 Sept'!D10</f>
        <v/>
      </c>
      <c r="C10" s="73" t="n">
        <v>141268.02</v>
      </c>
      <c r="D10" s="145" t="n">
        <v>149468.42</v>
      </c>
      <c r="E10" s="163">
        <f>IFERROR((SUM(D10-C10)/C10),0)</f>
        <v/>
      </c>
      <c r="F10" s="166" t="n">
        <v>968</v>
      </c>
      <c r="G10" s="63">
        <f>IFERROR(D10/F10,0)</f>
        <v/>
      </c>
      <c r="H10" s="61" t="n">
        <v>57</v>
      </c>
      <c r="I10" s="169">
        <f>IFERROR(H10/F10,0)</f>
        <v/>
      </c>
      <c r="J10" s="46">
        <f>SUM(57+H10)</f>
        <v/>
      </c>
      <c r="K10" s="172">
        <f>IFERROR(J10/SUM(F10),0)</f>
        <v/>
      </c>
      <c r="L10" s="188" t="n">
        <v>37418.3</v>
      </c>
      <c r="M10" s="89">
        <f>SUM(L10/D10)</f>
        <v/>
      </c>
      <c r="N10" s="130" t="n">
        <v>8931</v>
      </c>
      <c r="O10" s="26" t="n"/>
    </row>
    <row r="11" ht="15.6" customHeight="1">
      <c r="A11" s="409" t="inlineStr">
        <is>
          <t>Eagles Landing</t>
        </is>
      </c>
      <c r="B11" s="200">
        <f>'16 Sept - 22 Sept'!D11</f>
        <v/>
      </c>
      <c r="C11" s="73" t="n">
        <v>328622.22</v>
      </c>
      <c r="D11" s="145" t="n">
        <v>371983.14</v>
      </c>
      <c r="E11" s="163">
        <f>IFERROR((SUM(D11-C11)/C11),0)</f>
        <v/>
      </c>
      <c r="F11" s="166" t="n">
        <v>2590</v>
      </c>
      <c r="G11" s="63">
        <f>IFERROR(D11/F11,0)</f>
        <v/>
      </c>
      <c r="H11" s="61" t="n">
        <v>175</v>
      </c>
      <c r="I11" s="169">
        <f>IFERROR(H11/F11,0)</f>
        <v/>
      </c>
      <c r="J11" s="46">
        <f>SUM(119+H11)</f>
        <v/>
      </c>
      <c r="K11" s="172">
        <f>IFERROR(J11/SUM(F11),0)</f>
        <v/>
      </c>
      <c r="L11" s="188" t="n">
        <v>50180.25</v>
      </c>
      <c r="M11" s="89">
        <f>SUM(L11/D11)</f>
        <v/>
      </c>
      <c r="N11" s="130" t="n">
        <v>18796.65</v>
      </c>
      <c r="O11" s="26" t="n"/>
    </row>
    <row r="12" ht="15.6" customHeight="1">
      <c r="A12" s="198" t="inlineStr">
        <is>
          <t>Stellenbosch</t>
        </is>
      </c>
      <c r="B12" s="200">
        <f>'16 Sept - 22 Sept'!D12</f>
        <v/>
      </c>
      <c r="C12" s="73" t="n">
        <v>131554.38</v>
      </c>
      <c r="D12" s="145" t="n">
        <v>158117.67</v>
      </c>
      <c r="E12" s="163">
        <f>IFERROR((SUM(D12-C12)/C12),0)</f>
        <v/>
      </c>
      <c r="F12" s="166" t="n">
        <v>1181</v>
      </c>
      <c r="G12" s="63">
        <f>IFERROR(D12/F12,0)</f>
        <v/>
      </c>
      <c r="H12" s="61" t="n">
        <v>82</v>
      </c>
      <c r="I12" s="169">
        <f>IFERROR(H12/F12,0)</f>
        <v/>
      </c>
      <c r="J12" s="46">
        <f>SUM(57+H12)</f>
        <v/>
      </c>
      <c r="K12" s="172">
        <f>IFERROR(J12/SUM(F12),0)</f>
        <v/>
      </c>
      <c r="L12" s="188" t="n">
        <v>21373.7</v>
      </c>
      <c r="M12" s="89">
        <f>SUM(L12/D12)</f>
        <v/>
      </c>
      <c r="N12" s="130" t="n">
        <v>12491.65</v>
      </c>
      <c r="O12" s="26" t="n"/>
    </row>
    <row r="13" ht="15.6" customHeight="1">
      <c r="A13" s="198" t="inlineStr">
        <is>
          <t>Lynnwood</t>
        </is>
      </c>
      <c r="B13" s="200">
        <f>'16 Sept - 22 Sept'!D13</f>
        <v/>
      </c>
      <c r="C13" s="73" t="n">
        <v>215425.73</v>
      </c>
      <c r="D13" s="145" t="n">
        <v>214469.54</v>
      </c>
      <c r="E13" s="163">
        <f>IFERROR((SUM(D13-C13)/C13),0)</f>
        <v/>
      </c>
      <c r="F13" s="166" t="n">
        <v>1543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SUM(68+H13)</f>
        <v/>
      </c>
      <c r="K13" s="172">
        <f>IFERROR(J13/SUM(F13),0)</f>
        <v/>
      </c>
      <c r="L13" s="188" t="n">
        <v>36765.37</v>
      </c>
      <c r="M13" s="89">
        <f>SUM(L13/D13)</f>
        <v/>
      </c>
      <c r="N13" s="130" t="n">
        <v>8370.700000000001</v>
      </c>
      <c r="O13" s="26" t="n"/>
    </row>
    <row r="14" hidden="1" ht="15.6" customHeight="1">
      <c r="A14" s="198" t="inlineStr">
        <is>
          <t>Wellington</t>
        </is>
      </c>
      <c r="B14" s="200">
        <f>'16 Sept - 22 Sept'!D14</f>
        <v/>
      </c>
      <c r="C14" s="73" t="n">
        <v>80221.00999999999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Sept - 22 Sept'!D15</f>
        <v/>
      </c>
      <c r="C15" s="73" t="n">
        <v>194318.28</v>
      </c>
      <c r="D15" s="145" t="n">
        <v>275297.55</v>
      </c>
      <c r="E15" s="163">
        <f>IFERROR((SUM(D15-C15)/C15),0)</f>
        <v/>
      </c>
      <c r="F15" s="166" t="n">
        <v>2347</v>
      </c>
      <c r="G15" s="63">
        <f>IFERROR(D15/F15,0)</f>
        <v/>
      </c>
      <c r="H15" s="61" t="n">
        <v>51</v>
      </c>
      <c r="I15" s="169">
        <f>IFERROR(H15/F15,0)</f>
        <v/>
      </c>
      <c r="J15" s="46">
        <f>SUM(67+H15)</f>
        <v/>
      </c>
      <c r="K15" s="172">
        <f>IFERROR(J15/SUM(F15),0)</f>
        <v/>
      </c>
      <c r="L15" s="188" t="n">
        <v>16214.43</v>
      </c>
      <c r="M15" s="89">
        <f>SUM(L15/D15)</f>
        <v/>
      </c>
      <c r="N15" s="130" t="n">
        <v>7652.35</v>
      </c>
      <c r="O15" s="9" t="n"/>
    </row>
    <row r="16" ht="15.6" customHeight="1">
      <c r="A16" s="198" t="inlineStr">
        <is>
          <t>Kyalami Corner</t>
        </is>
      </c>
      <c r="B16" s="200">
        <f>'16 Sept - 22 Sept'!D16</f>
        <v/>
      </c>
      <c r="C16" s="73" t="n">
        <v>140331.74</v>
      </c>
      <c r="D16" s="145" t="n">
        <v>136655.46</v>
      </c>
      <c r="E16" s="163">
        <f>IFERROR((SUM(D16-C16)/C16),0)</f>
        <v/>
      </c>
      <c r="F16" s="166" t="n">
        <v>907</v>
      </c>
      <c r="G16" s="63">
        <f>IFERROR(D16/F16,0)</f>
        <v/>
      </c>
      <c r="H16" s="61" t="n">
        <v>41</v>
      </c>
      <c r="I16" s="169">
        <f>IFERROR(H16/F16,0)</f>
        <v/>
      </c>
      <c r="J16" s="46">
        <f>SUM(63+H16)</f>
        <v/>
      </c>
      <c r="K16" s="172">
        <f>IFERROR(J16/SUM(F16),0)</f>
        <v/>
      </c>
      <c r="L16" s="188" t="n">
        <v>28464.4</v>
      </c>
      <c r="M16" s="89">
        <f>SUM(L16/D16)</f>
        <v/>
      </c>
      <c r="N16" s="130" t="n">
        <v>8257</v>
      </c>
      <c r="O16" s="9" t="n"/>
    </row>
    <row r="17" ht="15.6" customHeight="1">
      <c r="A17" s="198" t="inlineStr">
        <is>
          <t>Paulshof</t>
        </is>
      </c>
      <c r="B17" s="200">
        <f>'16 Sept - 22 Sept'!D17</f>
        <v/>
      </c>
      <c r="C17" s="73" t="n">
        <v>214261.49</v>
      </c>
      <c r="D17" s="145" t="n">
        <v>243291.29</v>
      </c>
      <c r="E17" s="163">
        <f>IFERROR((SUM(D17-C17)/C17),0)</f>
        <v/>
      </c>
      <c r="F17" s="166" t="n">
        <v>1516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SUM(94+H17)</f>
        <v/>
      </c>
      <c r="K17" s="172">
        <f>IFERROR(J17/SUM(F17),0)</f>
        <v/>
      </c>
      <c r="L17" s="188" t="n">
        <v>43537.84</v>
      </c>
      <c r="M17" s="89">
        <f>SUM(L17/D17)</f>
        <v/>
      </c>
      <c r="N17" s="130" t="n">
        <v>13218.51</v>
      </c>
      <c r="O17" s="9" t="n"/>
    </row>
    <row r="18" ht="16.2" customHeight="1" thickBot="1">
      <c r="A18" s="199" t="inlineStr">
        <is>
          <t>Queenswood</t>
        </is>
      </c>
      <c r="B18" s="201">
        <f>'16 Sept - 22 Sept'!D18</f>
        <v/>
      </c>
      <c r="C18" s="131" t="n"/>
      <c r="D18" s="146" t="n">
        <v>178728.72</v>
      </c>
      <c r="E18" s="164">
        <f>IFERROR((SUM(D18-C18)/C18),0)</f>
        <v/>
      </c>
      <c r="F18" s="167" t="n">
        <v>1487</v>
      </c>
      <c r="G18" s="132">
        <f>IFERROR(D18/F18,0)</f>
        <v/>
      </c>
      <c r="H18" s="133" t="n">
        <v>108</v>
      </c>
      <c r="I18" s="170">
        <f>IFERROR(H18/F18,0)</f>
        <v/>
      </c>
      <c r="J18" s="115">
        <f>SUM(76+H18)</f>
        <v/>
      </c>
      <c r="K18" s="173">
        <f>IFERROR(J18/SUM(F18),0)</f>
        <v/>
      </c>
      <c r="L18" s="189" t="n">
        <v>25425.57</v>
      </c>
      <c r="M18" s="116">
        <f>SUM(L18/D18)</f>
        <v/>
      </c>
      <c r="N18" s="134" t="n">
        <v>5354.7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Sept - 29 Sept'!D6</f>
        <v/>
      </c>
      <c r="C6" s="123" t="n">
        <v>264457.42</v>
      </c>
      <c r="D6" s="197" t="n">
        <v>247392.33</v>
      </c>
      <c r="E6" s="162">
        <f>IFERROR((SUM(D6-C6)/C6),0)</f>
        <v/>
      </c>
      <c r="F6" s="165" t="n">
        <v>1989</v>
      </c>
      <c r="G6" s="124">
        <f>IFERROR(D6/F6,0)</f>
        <v/>
      </c>
      <c r="H6" s="125" t="n">
        <v>83</v>
      </c>
      <c r="I6" s="168">
        <f>IFERROR(H6/F6,0)</f>
        <v/>
      </c>
      <c r="J6" s="46">
        <f>SUM(62+H6+'23 Sept - 29 Sept'!H6)</f>
        <v/>
      </c>
      <c r="K6" s="171">
        <f>IFERROR(J6/SUM(F6),0)</f>
        <v/>
      </c>
      <c r="L6" s="191" t="n">
        <v>34598.62</v>
      </c>
      <c r="M6" s="128">
        <f>SUM(L6/D6)</f>
        <v/>
      </c>
      <c r="N6" s="129" t="n">
        <v>14502.4</v>
      </c>
      <c r="O6" s="26" t="n"/>
    </row>
    <row r="7" ht="15.6" customHeight="1">
      <c r="A7" s="409" t="inlineStr">
        <is>
          <t>Melrose Arch</t>
        </is>
      </c>
      <c r="B7" s="200">
        <f>'23 Sept - 29 Sept'!D7</f>
        <v/>
      </c>
      <c r="C7" s="73" t="n">
        <v>192360.95</v>
      </c>
      <c r="D7" s="145" t="n">
        <v>220441.59</v>
      </c>
      <c r="E7" s="163">
        <f>IFERROR((SUM(D7-C7)/C7),0)</f>
        <v/>
      </c>
      <c r="F7" s="166" t="n">
        <v>1491</v>
      </c>
      <c r="G7" s="63">
        <f>IFERROR(D7/F7,0)</f>
        <v/>
      </c>
      <c r="H7" s="61" t="n">
        <v>168</v>
      </c>
      <c r="I7" s="169">
        <f>IFERROR(H7/F7,0)</f>
        <v/>
      </c>
      <c r="J7" s="46">
        <f>SUM(62+H7+'23 Sept - 29 Sept'!H7)</f>
        <v/>
      </c>
      <c r="K7" s="172">
        <f>IFERROR(J7/SUM(F7),0)</f>
        <v/>
      </c>
      <c r="L7" s="188" t="n">
        <v>42409.78</v>
      </c>
      <c r="M7" s="89">
        <f>SUM(L7/D7)</f>
        <v/>
      </c>
      <c r="N7" s="130" t="n">
        <v>20778.53</v>
      </c>
      <c r="O7" s="26" t="n"/>
    </row>
    <row r="8" ht="15.6" customHeight="1">
      <c r="A8" s="409" t="inlineStr">
        <is>
          <t>Melville</t>
        </is>
      </c>
      <c r="B8" s="200">
        <f>'23 Sept - 29 Sept'!D8</f>
        <v/>
      </c>
      <c r="C8" s="73" t="n">
        <v>99034.45</v>
      </c>
      <c r="D8" s="145" t="n">
        <v>107107.59</v>
      </c>
      <c r="E8" s="163">
        <f>IFERROR((SUM(D8-C8)/C8),0)</f>
        <v/>
      </c>
      <c r="F8" s="166" t="n">
        <v>734</v>
      </c>
      <c r="G8" s="63">
        <f>IFERROR(D8/F8,0)</f>
        <v/>
      </c>
      <c r="H8" s="61" t="n">
        <v>52</v>
      </c>
      <c r="I8" s="169">
        <f>IFERROR(H8/F8,0)</f>
        <v/>
      </c>
      <c r="J8" s="46">
        <f>SUM(62+H8+'23 Sept - 29 Sept'!H8)</f>
        <v/>
      </c>
      <c r="K8" s="172">
        <f>IFERROR(J8/SUM(F8),0)</f>
        <v/>
      </c>
      <c r="L8" s="188" t="n">
        <v>25866.04</v>
      </c>
      <c r="M8" s="89">
        <f>SUM(L8/D8)</f>
        <v/>
      </c>
      <c r="N8" s="130" t="n">
        <v>6931</v>
      </c>
      <c r="O8" s="26" t="n"/>
    </row>
    <row r="9" ht="15.6" customHeight="1">
      <c r="A9" s="409" t="inlineStr">
        <is>
          <t>Rosebank</t>
        </is>
      </c>
      <c r="B9" s="200">
        <f>'23 Sept - 29 Sept'!D9</f>
        <v/>
      </c>
      <c r="C9" s="73" t="n">
        <v>341106.39</v>
      </c>
      <c r="D9" s="145" t="n">
        <v>310781.22</v>
      </c>
      <c r="E9" s="163">
        <f>IFERROR((SUM(D9-C9)/C9),0)</f>
        <v/>
      </c>
      <c r="F9" s="166" t="n">
        <v>2180</v>
      </c>
      <c r="G9" s="63">
        <f>IFERROR(D9/F9,0)</f>
        <v/>
      </c>
      <c r="H9" s="61" t="n">
        <v>87</v>
      </c>
      <c r="I9" s="169">
        <f>IFERROR(H9/F9,0)</f>
        <v/>
      </c>
      <c r="J9" s="46">
        <f>SUM(62+H9+'23 Sept - 29 Sept'!H9)</f>
        <v/>
      </c>
      <c r="K9" s="172">
        <f>IFERROR(J9/SUM(F9),0)</f>
        <v/>
      </c>
      <c r="L9" s="188" t="n">
        <v>15903.3</v>
      </c>
      <c r="M9" s="89">
        <f>SUM(L9/D9)</f>
        <v/>
      </c>
      <c r="N9" s="130" t="n">
        <v>13706</v>
      </c>
      <c r="O9" s="26" t="n"/>
    </row>
    <row r="10" ht="15.6" customHeight="1">
      <c r="A10" s="409" t="inlineStr">
        <is>
          <t xml:space="preserve">Waterkloof </t>
        </is>
      </c>
      <c r="B10" s="200">
        <f>'23 Sept - 29 Sept'!D10</f>
        <v/>
      </c>
      <c r="C10" s="73" t="n">
        <v>127538.21</v>
      </c>
      <c r="D10" s="145" t="n">
        <v>147789.66</v>
      </c>
      <c r="E10" s="163">
        <f>IFERROR((SUM(D10-C10)/C10),0)</f>
        <v/>
      </c>
      <c r="F10" s="166" t="n">
        <v>1021</v>
      </c>
      <c r="G10" s="63">
        <f>IFERROR(D10/F10,0)</f>
        <v/>
      </c>
      <c r="H10" s="61" t="n">
        <v>90</v>
      </c>
      <c r="I10" s="169">
        <f>IFERROR(H10/F10,0)</f>
        <v/>
      </c>
      <c r="J10" s="46">
        <f>SUM(62+H10+'23 Sept - 29 Sept'!H10)</f>
        <v/>
      </c>
      <c r="K10" s="172">
        <f>IFERROR(J10/SUM(F10),0)</f>
        <v/>
      </c>
      <c r="L10" s="188" t="n">
        <v>41123.57</v>
      </c>
      <c r="M10" s="89">
        <f>SUM(L10/D10)</f>
        <v/>
      </c>
      <c r="N10" s="130" t="n">
        <v>7005.75</v>
      </c>
      <c r="O10" s="26" t="n"/>
    </row>
    <row r="11" ht="15.6" customHeight="1">
      <c r="A11" s="409" t="inlineStr">
        <is>
          <t>Eagles Landing</t>
        </is>
      </c>
      <c r="B11" s="200">
        <f>'23 Sept - 29 Sept'!D11</f>
        <v/>
      </c>
      <c r="C11" s="73" t="n">
        <v>314738.1</v>
      </c>
      <c r="D11" s="145" t="n">
        <v>310363.95</v>
      </c>
      <c r="E11" s="163">
        <f>IFERROR((SUM(D11-C11)/C11),0)</f>
        <v/>
      </c>
      <c r="F11" s="166" t="n">
        <v>2054</v>
      </c>
      <c r="G11" s="63">
        <f>IFERROR(D11/F11,0)</f>
        <v/>
      </c>
      <c r="H11" s="61" t="n">
        <v>180</v>
      </c>
      <c r="I11" s="169">
        <f>IFERROR(H11/F11,0)</f>
        <v/>
      </c>
      <c r="J11" s="46">
        <f>SUM(62+H11+'23 Sept - 29 Sept'!H11)</f>
        <v/>
      </c>
      <c r="K11" s="172">
        <f>IFERROR(J11/SUM(F11),0)</f>
        <v/>
      </c>
      <c r="L11" s="188" t="n">
        <v>43430.48</v>
      </c>
      <c r="M11" s="89">
        <f>SUM(L11/D11)</f>
        <v/>
      </c>
      <c r="N11" s="130" t="n">
        <v>18433.1</v>
      </c>
      <c r="O11" s="26" t="n"/>
    </row>
    <row r="12" ht="15.6" customHeight="1">
      <c r="A12" s="198" t="inlineStr">
        <is>
          <t>Stellenbosch</t>
        </is>
      </c>
      <c r="B12" s="200">
        <f>'23 Sept - 29 Sept'!D12</f>
        <v/>
      </c>
      <c r="C12" s="73" t="n">
        <v>122013.69</v>
      </c>
      <c r="D12" s="145" t="n">
        <v>145869.65</v>
      </c>
      <c r="E12" s="163">
        <f>IFERROR((SUM(D12-C12)/C12),0)</f>
        <v/>
      </c>
      <c r="F12" s="166" t="n">
        <v>1082</v>
      </c>
      <c r="G12" s="63">
        <f>IFERROR(D12/F12,0)</f>
        <v/>
      </c>
      <c r="H12" s="61" t="n">
        <v>86</v>
      </c>
      <c r="I12" s="169">
        <f>IFERROR(H12/F12,0)</f>
        <v/>
      </c>
      <c r="J12" s="46">
        <f>SUM(62+H12+'23 Sept - 29 Sept'!H12)</f>
        <v/>
      </c>
      <c r="K12" s="172">
        <f>IFERROR(J12/SUM(F12),0)</f>
        <v/>
      </c>
      <c r="L12" s="188" t="n">
        <v>22175.96</v>
      </c>
      <c r="M12" s="89">
        <f>SUM(L12/D12)</f>
        <v/>
      </c>
      <c r="N12" s="130" t="n">
        <v>11119.7</v>
      </c>
      <c r="O12" s="26" t="n"/>
    </row>
    <row r="13" ht="15.6" customHeight="1">
      <c r="A13" s="198" t="inlineStr">
        <is>
          <t>Lynnwood</t>
        </is>
      </c>
      <c r="B13" s="200">
        <f>'23 Sept - 29 Sept'!D13</f>
        <v/>
      </c>
      <c r="C13" s="73" t="n">
        <v>205792.41</v>
      </c>
      <c r="D13" s="145" t="n">
        <v>203625.52</v>
      </c>
      <c r="E13" s="163">
        <f>IFERROR((SUM(D13-C13)/C13),0)</f>
        <v/>
      </c>
      <c r="F13" s="166" t="n">
        <v>1510</v>
      </c>
      <c r="G13" s="63">
        <f>IFERROR(D13/F13,0)</f>
        <v/>
      </c>
      <c r="H13" s="61" t="n">
        <v>84</v>
      </c>
      <c r="I13" s="169">
        <f>IFERROR(H13/F13,0)</f>
        <v/>
      </c>
      <c r="J13" s="46">
        <f>SUM(62+H13+'23 Sept - 29 Sept'!H13)</f>
        <v/>
      </c>
      <c r="K13" s="172">
        <f>IFERROR(J13/SUM(F13),0)</f>
        <v/>
      </c>
      <c r="L13" s="188" t="n">
        <v>37783.65</v>
      </c>
      <c r="M13" s="89">
        <f>SUM(L13/D13)</f>
        <v/>
      </c>
      <c r="N13" s="130" t="n">
        <v>11478.4</v>
      </c>
      <c r="O13" s="26" t="n"/>
    </row>
    <row r="14" hidden="1" ht="15.6" customHeight="1">
      <c r="A14" s="198" t="inlineStr">
        <is>
          <t>Wellington</t>
        </is>
      </c>
      <c r="B14" s="200">
        <f>'23 Sept - 29 Sept'!D14</f>
        <v/>
      </c>
      <c r="C14" s="73" t="n">
        <v>110538.82</v>
      </c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Sept - 29 Sept'!D15</f>
        <v/>
      </c>
      <c r="C15" s="73" t="n">
        <v>247604.51</v>
      </c>
      <c r="D15" s="145" t="n">
        <v>146491.63</v>
      </c>
      <c r="E15" s="163">
        <f>IFERROR((SUM(D15-C15)/C15),0)</f>
        <v/>
      </c>
      <c r="F15" s="166" t="n">
        <v>1200</v>
      </c>
      <c r="G15" s="63">
        <f>IFERROR(D15/F15,0)</f>
        <v/>
      </c>
      <c r="H15" s="61" t="n">
        <v>95</v>
      </c>
      <c r="I15" s="169">
        <f>IFERROR(H15/F15,0)</f>
        <v/>
      </c>
      <c r="J15" s="46">
        <f>SUM(62+H15+'23 Sept - 29 Sept'!H15)</f>
        <v/>
      </c>
      <c r="K15" s="172">
        <f>IFERROR(J15/SUM(F15),0)</f>
        <v/>
      </c>
      <c r="L15" s="188" t="n">
        <v>8311.74</v>
      </c>
      <c r="M15" s="89">
        <f>SUM(L15/D15)</f>
        <v/>
      </c>
      <c r="N15" s="130" t="n">
        <v>5580</v>
      </c>
      <c r="O15" s="9" t="n"/>
    </row>
    <row r="16" ht="15.6" customHeight="1">
      <c r="A16" s="198" t="inlineStr">
        <is>
          <t>Kyalami Corner</t>
        </is>
      </c>
      <c r="B16" s="200">
        <f>'23 Sept - 29 Sept'!D16</f>
        <v/>
      </c>
      <c r="C16" s="73" t="n">
        <v>137044.49</v>
      </c>
      <c r="D16" s="145" t="n">
        <v>124737.19</v>
      </c>
      <c r="E16" s="163">
        <f>IFERROR((SUM(D16-C16)/C16),0)</f>
        <v/>
      </c>
      <c r="F16" s="166" t="n">
        <v>877</v>
      </c>
      <c r="G16" s="63">
        <f>IFERROR(D16/F16,0)</f>
        <v/>
      </c>
      <c r="H16" s="61" t="n">
        <v>23</v>
      </c>
      <c r="I16" s="169">
        <f>IFERROR(H16/F16,0)</f>
        <v/>
      </c>
      <c r="J16" s="46">
        <f>SUM(62+H16+'23 Sept - 29 Sept'!H16)</f>
        <v/>
      </c>
      <c r="K16" s="172">
        <f>IFERROR(J16/SUM(F16),0)</f>
        <v/>
      </c>
      <c r="L16" s="188" t="n">
        <v>28830.13</v>
      </c>
      <c r="M16" s="89">
        <f>SUM(L16/D16)</f>
        <v/>
      </c>
      <c r="N16" s="130" t="n">
        <v>7409.7</v>
      </c>
      <c r="O16" s="9" t="n"/>
    </row>
    <row r="17" ht="15.6" customHeight="1">
      <c r="A17" s="198" t="inlineStr">
        <is>
          <t>Paulshof</t>
        </is>
      </c>
      <c r="B17" s="200">
        <f>'23 Sept - 29 Sept'!D17</f>
        <v/>
      </c>
      <c r="C17" s="73" t="n">
        <v>204294.75</v>
      </c>
      <c r="D17" s="145" t="n">
        <v>187465.36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108</v>
      </c>
      <c r="I17" s="169">
        <f>IFERROR(H17/F17,0)</f>
        <v/>
      </c>
      <c r="J17" s="46">
        <f>SUM(62+H17+'23 Sept - 29 Sept'!H17)</f>
        <v/>
      </c>
      <c r="K17" s="172">
        <f>IFERROR(J17/SUM(F17),0)</f>
        <v/>
      </c>
      <c r="L17" s="188" t="n">
        <v>29451.78</v>
      </c>
      <c r="M17" s="89">
        <f>SUM(L17/D17)</f>
        <v/>
      </c>
      <c r="N17" s="130" t="n">
        <v>10027.2</v>
      </c>
      <c r="O17" s="9" t="n"/>
    </row>
    <row r="18" ht="16.2" customHeight="1" thickBot="1">
      <c r="A18" s="199" t="inlineStr">
        <is>
          <t>Queenswood</t>
        </is>
      </c>
      <c r="B18" s="201">
        <f>'23 Sept - 29 Sept'!D18</f>
        <v/>
      </c>
      <c r="C18" s="131" t="n"/>
      <c r="D18" s="146" t="n">
        <v>161171.99</v>
      </c>
      <c r="E18" s="164">
        <f>IFERROR((SUM(D18-C18)/C18),0)</f>
        <v/>
      </c>
      <c r="F18" s="167" t="n">
        <v>1295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Sept'!H18)</f>
        <v/>
      </c>
      <c r="K18" s="173">
        <f>IFERROR(J18/SUM(F18),0)</f>
        <v/>
      </c>
      <c r="L18" s="189" t="n">
        <v>18135</v>
      </c>
      <c r="M18" s="116">
        <f>SUM(L18/D18)</f>
        <v/>
      </c>
      <c r="N18" s="134" t="n">
        <v>3753.15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Sept - 6 Oct'!D6</f>
        <v/>
      </c>
      <c r="C6" s="123" t="n">
        <v>236866.46</v>
      </c>
      <c r="D6" s="197" t="n">
        <v>234693.29</v>
      </c>
      <c r="E6" s="162">
        <f>IFERROR((SUM(D6-C6)/C6),0)</f>
        <v/>
      </c>
      <c r="F6" s="165" t="n">
        <v>1893</v>
      </c>
      <c r="G6" s="124">
        <f>IFERROR(D6/F6,0)</f>
        <v/>
      </c>
      <c r="H6" s="125" t="n">
        <v>84</v>
      </c>
      <c r="I6" s="168">
        <f>IFERROR(H6/F6,0)</f>
        <v/>
      </c>
      <c r="J6" s="46">
        <f>SUM(62+H6+'23 Sept - 29 Sept'!H6+'30 Sept - 6 Oct'!H6)</f>
        <v/>
      </c>
      <c r="K6" s="171">
        <f>IFERROR(J6/SUM(F6),0)</f>
        <v/>
      </c>
      <c r="L6" s="191" t="n">
        <v>35050.13</v>
      </c>
      <c r="M6" s="128">
        <f>SUM(L6/D6)</f>
        <v/>
      </c>
      <c r="N6" s="129" t="n">
        <v>10726.75</v>
      </c>
      <c r="O6" s="26" t="n"/>
    </row>
    <row r="7" ht="15.6" customHeight="1">
      <c r="A7" s="409" t="inlineStr">
        <is>
          <t>Melrose Arch</t>
        </is>
      </c>
      <c r="B7" s="200">
        <f>'30 Sept - 6 Oct'!D7</f>
        <v/>
      </c>
      <c r="C7" s="73" t="n">
        <v>144768.66</v>
      </c>
      <c r="D7" s="145" t="n">
        <v>178156.7</v>
      </c>
      <c r="E7" s="163">
        <f>IFERROR((SUM(D7-C7)/C7),0)</f>
        <v/>
      </c>
      <c r="F7" s="166" t="n">
        <v>1296</v>
      </c>
      <c r="G7" s="63">
        <f>IFERROR(D7/F7,0)</f>
        <v/>
      </c>
      <c r="H7" s="61" t="n">
        <v>146</v>
      </c>
      <c r="I7" s="169">
        <f>IFERROR(H7/F7,0)</f>
        <v/>
      </c>
      <c r="J7" s="46">
        <f>SUM(62+H7+'23 Sept - 29 Sept'!H7+'30 Sept - 6 Oct'!H7)</f>
        <v/>
      </c>
      <c r="K7" s="172">
        <f>IFERROR(J7/SUM(F7),0)</f>
        <v/>
      </c>
      <c r="L7" s="188" t="n">
        <v>30965.35</v>
      </c>
      <c r="M7" s="89">
        <f>SUM(L7/D7)</f>
        <v/>
      </c>
      <c r="N7" s="130" t="n">
        <v>15568.2</v>
      </c>
      <c r="O7" s="26" t="n"/>
    </row>
    <row r="8" ht="15.6" customHeight="1">
      <c r="A8" s="409" t="inlineStr">
        <is>
          <t>Melville</t>
        </is>
      </c>
      <c r="B8" s="200">
        <f>'30 Sept - 6 Oct'!D8</f>
        <v/>
      </c>
      <c r="C8" s="73" t="n">
        <v>93938.69</v>
      </c>
      <c r="D8" s="145" t="n">
        <v>104958.15</v>
      </c>
      <c r="E8" s="163">
        <f>IFERROR((SUM(D8-C8)/C8),0)</f>
        <v/>
      </c>
      <c r="F8" s="166" t="n">
        <v>702</v>
      </c>
      <c r="G8" s="63">
        <f>IFERROR(D8/F8,0)</f>
        <v/>
      </c>
      <c r="H8" s="61" t="n">
        <v>33</v>
      </c>
      <c r="I8" s="169">
        <f>IFERROR(H8/F8,0)</f>
        <v/>
      </c>
      <c r="J8" s="46">
        <f>SUM(62+H8+'23 Sept - 29 Sept'!H8+'30 Sept - 6 Oct'!H8)</f>
        <v/>
      </c>
      <c r="K8" s="172">
        <f>IFERROR(J8/SUM(F8),0)</f>
        <v/>
      </c>
      <c r="L8" s="188" t="n">
        <v>30557.87</v>
      </c>
      <c r="M8" s="89">
        <f>SUM(L8/D8)</f>
        <v/>
      </c>
      <c r="N8" s="130" t="n">
        <v>4739.6</v>
      </c>
      <c r="O8" s="26" t="n"/>
    </row>
    <row r="9" ht="15.6" customHeight="1">
      <c r="A9" s="409" t="inlineStr">
        <is>
          <t>Rosebank</t>
        </is>
      </c>
      <c r="B9" s="200">
        <f>'30 Sept - 6 Oct'!D9</f>
        <v/>
      </c>
      <c r="C9" s="73" t="n">
        <v>294741.78</v>
      </c>
      <c r="D9" s="145" t="n">
        <v>307459.09</v>
      </c>
      <c r="E9" s="163">
        <f>IFERROR((SUM(D9-C9)/C9),0)</f>
        <v/>
      </c>
      <c r="F9" s="166" t="n">
        <v>2195</v>
      </c>
      <c r="G9" s="63">
        <f>IFERROR(D9/F9,0)</f>
        <v/>
      </c>
      <c r="H9" s="61" t="n">
        <v>89</v>
      </c>
      <c r="I9" s="169">
        <f>IFERROR(H9/F9,0)</f>
        <v/>
      </c>
      <c r="J9" s="46">
        <f>SUM(62+H9+'23 Sept - 29 Sept'!H9+'30 Sept - 6 Oct'!H9)</f>
        <v/>
      </c>
      <c r="K9" s="172">
        <f>IFERROR(J9/SUM(F9),0)</f>
        <v/>
      </c>
      <c r="L9" s="188" t="n">
        <v>23028.08</v>
      </c>
      <c r="M9" s="89">
        <f>SUM(L9/D9)</f>
        <v/>
      </c>
      <c r="N9" s="130" t="n">
        <v>13307.85</v>
      </c>
      <c r="O9" s="26" t="n"/>
    </row>
    <row r="10" ht="15.6" customHeight="1">
      <c r="A10" s="409" t="inlineStr">
        <is>
          <t xml:space="preserve">Waterkloof </t>
        </is>
      </c>
      <c r="B10" s="200">
        <f>'30 Sept - 6 Oct'!D10</f>
        <v/>
      </c>
      <c r="C10" s="73" t="n">
        <v>143479.23</v>
      </c>
      <c r="D10" s="145" t="n">
        <v>152374.91</v>
      </c>
      <c r="E10" s="163">
        <f>IFERROR((SUM(D10-C10)/C10),0)</f>
        <v/>
      </c>
      <c r="F10" s="166" t="n">
        <v>1055</v>
      </c>
      <c r="G10" s="63">
        <f>IFERROR(D10/F10,0)</f>
        <v/>
      </c>
      <c r="H10" s="61" t="n">
        <v>98</v>
      </c>
      <c r="I10" s="169">
        <f>IFERROR(H10/F10,0)</f>
        <v/>
      </c>
      <c r="J10" s="46">
        <f>SUM(62+H10+'23 Sept - 29 Sept'!H10+'30 Sept - 6 Oct'!H10)</f>
        <v/>
      </c>
      <c r="K10" s="172">
        <f>IFERROR(J10/SUM(F10),0)</f>
        <v/>
      </c>
      <c r="L10" s="188" t="n">
        <v>40638.63</v>
      </c>
      <c r="M10" s="89">
        <f>SUM(L10/D10)</f>
        <v/>
      </c>
      <c r="N10" s="130" t="n">
        <v>8302.1</v>
      </c>
      <c r="O10" s="26" t="n"/>
    </row>
    <row r="11" ht="15.6" customHeight="1">
      <c r="A11" s="409" t="inlineStr">
        <is>
          <t>Eagles Landing</t>
        </is>
      </c>
      <c r="B11" s="200">
        <f>'30 Sept - 6 Oct'!D11</f>
        <v/>
      </c>
      <c r="C11" s="73" t="n">
        <v>320816.82</v>
      </c>
      <c r="D11" s="145" t="n">
        <v>330816.72</v>
      </c>
      <c r="E11" s="163">
        <f>IFERROR((SUM(D11-C11)/C11),0)</f>
        <v/>
      </c>
      <c r="F11" s="166" t="n">
        <v>2120</v>
      </c>
      <c r="G11" s="63">
        <f>IFERROR(D11/F11,0)</f>
        <v/>
      </c>
      <c r="H11" s="61" t="n">
        <v>152</v>
      </c>
      <c r="I11" s="169">
        <f>IFERROR(H11/F11,0)</f>
        <v/>
      </c>
      <c r="J11" s="46">
        <f>SUM(62+H11+'23 Sept - 29 Sept'!H11+'30 Sept - 6 Oct'!H11)</f>
        <v/>
      </c>
      <c r="K11" s="172">
        <f>IFERROR(J11/SUM(F11),0)</f>
        <v/>
      </c>
      <c r="L11" s="188" t="n">
        <v>45426.14</v>
      </c>
      <c r="M11" s="89">
        <f>SUM(L11/D11)</f>
        <v/>
      </c>
      <c r="N11" s="130" t="n">
        <v>19489.65</v>
      </c>
      <c r="O11" s="26" t="n"/>
    </row>
    <row r="12" ht="15.6" customHeight="1">
      <c r="A12" s="198" t="inlineStr">
        <is>
          <t>Stellenbosch</t>
        </is>
      </c>
      <c r="B12" s="200">
        <f>'30 Sept - 6 Oct'!D12</f>
        <v/>
      </c>
      <c r="C12" s="73" t="n">
        <v>120710.17</v>
      </c>
      <c r="D12" s="145" t="n">
        <v>132859.36</v>
      </c>
      <c r="E12" s="163">
        <f>IFERROR((SUM(D12-C12)/C12),0)</f>
        <v/>
      </c>
      <c r="F12" s="166" t="n">
        <v>1076</v>
      </c>
      <c r="G12" s="63">
        <f>IFERROR(D12/F12,0)</f>
        <v/>
      </c>
      <c r="H12" s="61" t="n">
        <v>92</v>
      </c>
      <c r="I12" s="169">
        <f>IFERROR(H12/F12,0)</f>
        <v/>
      </c>
      <c r="J12" s="46">
        <f>SUM(62+H12+'23 Sept - 29 Sept'!H12+'30 Sept - 6 Oct'!H12)</f>
        <v/>
      </c>
      <c r="K12" s="172">
        <f>IFERROR(J12/SUM(F12),0)</f>
        <v/>
      </c>
      <c r="L12" s="188" t="n">
        <v>19708.78</v>
      </c>
      <c r="M12" s="89">
        <f>SUM(L12/D12)</f>
        <v/>
      </c>
      <c r="N12" s="130" t="n">
        <v>10137.4</v>
      </c>
      <c r="O12" s="26" t="n"/>
    </row>
    <row r="13" ht="15.6" customHeight="1">
      <c r="A13" s="198" t="inlineStr">
        <is>
          <t>Lynnwood</t>
        </is>
      </c>
      <c r="B13" s="200">
        <f>'30 Sept - 6 Oct'!D13</f>
        <v/>
      </c>
      <c r="C13" s="73" t="n">
        <v>212472.33</v>
      </c>
      <c r="D13" s="145" t="n">
        <v>196053.8</v>
      </c>
      <c r="E13" s="163">
        <f>IFERROR((SUM(D13-C13)/C13),0)</f>
        <v/>
      </c>
      <c r="F13" s="166" t="n">
        <v>1475</v>
      </c>
      <c r="G13" s="63">
        <f>IFERROR(D13/F13,0)</f>
        <v/>
      </c>
      <c r="H13" s="61" t="n">
        <v>95</v>
      </c>
      <c r="I13" s="169">
        <f>IFERROR(H13/F13,0)</f>
        <v/>
      </c>
      <c r="J13" s="46">
        <f>SUM(62+H13+'23 Sept - 29 Sept'!H13+'30 Sept - 6 Oct'!H13)</f>
        <v/>
      </c>
      <c r="K13" s="172">
        <f>IFERROR(J13/SUM(F13),0)</f>
        <v/>
      </c>
      <c r="L13" s="188" t="n">
        <v>37144.09</v>
      </c>
      <c r="M13" s="89">
        <f>SUM(L13/D13)</f>
        <v/>
      </c>
      <c r="N13" s="130" t="n">
        <v>7947.15</v>
      </c>
      <c r="O13" s="26" t="n"/>
    </row>
    <row r="14" hidden="1" ht="15.6" customHeight="1">
      <c r="A14" s="198" t="inlineStr">
        <is>
          <t>Wellington</t>
        </is>
      </c>
      <c r="B14" s="200">
        <f>'30 Sept - 6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Sept - 6 Oct'!D15</f>
        <v/>
      </c>
      <c r="C15" s="73" t="n">
        <v>146937.33</v>
      </c>
      <c r="D15" s="145" t="n">
        <v>163134.86</v>
      </c>
      <c r="E15" s="163">
        <f>IFERROR((SUM(D15-C15)/C15),0)</f>
        <v/>
      </c>
      <c r="F15" s="166" t="n">
        <v>1546</v>
      </c>
      <c r="G15" s="63">
        <f>IFERROR(D15/F15,0)</f>
        <v/>
      </c>
      <c r="H15" s="61" t="n">
        <v>75</v>
      </c>
      <c r="I15" s="169">
        <f>IFERROR(H15/F15,0)</f>
        <v/>
      </c>
      <c r="J15" s="46">
        <f>SUM(62+H15+'23 Sept - 29 Sept'!H15+'30 Sept - 6 Oct'!H15)</f>
        <v/>
      </c>
      <c r="K15" s="172">
        <f>IFERROR(J15/SUM(F15),0)</f>
        <v/>
      </c>
      <c r="L15" s="188" t="n">
        <v>6419.3</v>
      </c>
      <c r="M15" s="89">
        <f>SUM(L15/D15)</f>
        <v/>
      </c>
      <c r="N15" s="130" t="n">
        <v>8982.299999999999</v>
      </c>
      <c r="O15" s="9" t="n"/>
    </row>
    <row r="16" ht="15.6" customHeight="1">
      <c r="A16" s="198" t="inlineStr">
        <is>
          <t>Kyalami Corner</t>
        </is>
      </c>
      <c r="B16" s="200">
        <f>'30 Sept - 6 Oct'!D16</f>
        <v/>
      </c>
      <c r="C16" s="73" t="n">
        <v>111304.27</v>
      </c>
      <c r="D16" s="145" t="n">
        <v>113246.57</v>
      </c>
      <c r="E16" s="163">
        <f>IFERROR((SUM(D16-C16)/C16),0)</f>
        <v/>
      </c>
      <c r="F16" s="166" t="n">
        <v>781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Oct'!H16)</f>
        <v/>
      </c>
      <c r="K16" s="172">
        <f>IFERROR(J16/SUM(F16),0)</f>
        <v/>
      </c>
      <c r="L16" s="188" t="n">
        <v>23586.43</v>
      </c>
      <c r="M16" s="89">
        <f>SUM(L16/D16)</f>
        <v/>
      </c>
      <c r="N16" s="130" t="n">
        <v>6321.5</v>
      </c>
      <c r="O16" s="9" t="n"/>
    </row>
    <row r="17" ht="15.6" customHeight="1">
      <c r="A17" s="198" t="inlineStr">
        <is>
          <t>Paulshof</t>
        </is>
      </c>
      <c r="B17" s="200">
        <f>'30 Sept - 6 Oct'!D17</f>
        <v/>
      </c>
      <c r="C17" s="73" t="n">
        <v>190925.54</v>
      </c>
      <c r="D17" s="145" t="n">
        <v>201796.54</v>
      </c>
      <c r="E17" s="163">
        <f>IFERROR((SUM(D17-C17)/C17),0)</f>
        <v/>
      </c>
      <c r="F17" s="166" t="n">
        <v>1332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Oct'!H17)</f>
        <v/>
      </c>
      <c r="K17" s="172">
        <f>IFERROR(J17/SUM(F17),0)</f>
        <v/>
      </c>
      <c r="L17" s="188" t="n">
        <v>31278.57</v>
      </c>
      <c r="M17" s="89">
        <f>SUM(L17/D17)</f>
        <v/>
      </c>
      <c r="N17" s="130" t="n">
        <v>13186.1</v>
      </c>
      <c r="O17" s="9" t="n"/>
    </row>
    <row r="18" ht="16.2" customHeight="1" thickBot="1">
      <c r="A18" s="199" t="inlineStr">
        <is>
          <t>Queenswood</t>
        </is>
      </c>
      <c r="B18" s="201">
        <f>'30 Sept - 6 Oct'!D18</f>
        <v/>
      </c>
      <c r="C18" s="131" t="n"/>
      <c r="D18" s="146" t="n">
        <v>148910.86</v>
      </c>
      <c r="E18" s="164">
        <f>IFERROR((SUM(D18-C18)/C18),0)</f>
        <v/>
      </c>
      <c r="F18" s="167" t="n">
        <v>1203</v>
      </c>
      <c r="G18" s="132">
        <f>IFERROR(D18/F18,0)</f>
        <v/>
      </c>
      <c r="H18" s="133" t="n">
        <v>65</v>
      </c>
      <c r="I18" s="170">
        <f>IFERROR(H18/F18,0)</f>
        <v/>
      </c>
      <c r="J18" s="115">
        <f>SUM(62+H18+'23 Sept - 29 Sept'!H18+'30 Sept - 6 Oct'!H18)</f>
        <v/>
      </c>
      <c r="K18" s="173">
        <f>IFERROR(J18/SUM(F18),0)</f>
        <v/>
      </c>
      <c r="L18" s="189" t="n">
        <v>22415.59</v>
      </c>
      <c r="M18" s="116">
        <f>SUM(L18/D18)</f>
        <v/>
      </c>
      <c r="N18" s="134" t="n">
        <v>3007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'7 Oct - 13 Oct'!D6</f>
        <v/>
      </c>
      <c r="C6" s="123" t="n">
        <v>231844.33</v>
      </c>
      <c r="D6" s="197" t="n">
        <v>220957.5</v>
      </c>
      <c r="E6" s="162">
        <f>IFERROR((SUM(D6-C6)/C6),0)</f>
        <v/>
      </c>
      <c r="F6" s="165" t="n">
        <v>1841</v>
      </c>
      <c r="G6" s="124">
        <f>IFERROR(D6/F6,0)</f>
        <v/>
      </c>
      <c r="H6" s="125" t="n">
        <v>62</v>
      </c>
      <c r="I6" s="168">
        <f>IFERROR(H6/F6,0)</f>
        <v/>
      </c>
      <c r="J6" s="46">
        <f>SUM(62+H6+'23 Sept - 29 Sept'!H6+'30 Sept - 6 Oct'!H6+'7 Oct - 13 Oct'!H6)</f>
        <v/>
      </c>
      <c r="K6" s="171">
        <f>IFERROR(J6/SUM(F6),0)</f>
        <v/>
      </c>
      <c r="L6" s="191" t="n">
        <v>25657.96</v>
      </c>
      <c r="M6" s="128">
        <f>SUM(L6/D6)</f>
        <v/>
      </c>
      <c r="N6" s="129" t="n">
        <v>12099.3</v>
      </c>
      <c r="O6" s="26" t="n"/>
    </row>
    <row r="7" ht="15.6" customHeight="1">
      <c r="A7" s="409" t="inlineStr">
        <is>
          <t>Melrose Arch</t>
        </is>
      </c>
      <c r="B7" s="200">
        <f>'7 Oct - 13 Oct'!D7</f>
        <v/>
      </c>
      <c r="C7" s="73" t="n"/>
      <c r="D7" s="145" t="n">
        <v>212391.65</v>
      </c>
      <c r="E7" s="163">
        <f>IFERROR((SUM(D7-C7)/C7),0)</f>
        <v/>
      </c>
      <c r="F7" s="166" t="n">
        <v>1499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Oct'!H7)</f>
        <v/>
      </c>
      <c r="K7" s="172">
        <f>IFERROR(J7/SUM(F7),0)</f>
        <v/>
      </c>
      <c r="L7" s="188" t="n">
        <v>34437.14</v>
      </c>
      <c r="M7" s="89">
        <f>SUM(L7/D7)</f>
        <v/>
      </c>
      <c r="N7" s="130" t="n">
        <v>17352.26</v>
      </c>
      <c r="O7" s="26" t="n"/>
    </row>
    <row r="8" ht="15.6" customHeight="1">
      <c r="A8" s="409" t="inlineStr">
        <is>
          <t>Melville</t>
        </is>
      </c>
      <c r="B8" s="200">
        <f>'7 Oct - 13 Oct'!D8</f>
        <v/>
      </c>
      <c r="C8" s="73" t="n">
        <v>80789.17</v>
      </c>
      <c r="D8" s="145" t="n">
        <v>108340.48</v>
      </c>
      <c r="E8" s="163">
        <f>IFERROR((SUM(D8-C8)/C8),0)</f>
        <v/>
      </c>
      <c r="F8" s="166" t="n">
        <v>737</v>
      </c>
      <c r="G8" s="63">
        <f>IFERROR(D8/F8,0)</f>
        <v/>
      </c>
      <c r="H8" s="61" t="n">
        <v>23</v>
      </c>
      <c r="I8" s="169">
        <f>IFERROR(H8/F8,0)</f>
        <v/>
      </c>
      <c r="J8" s="46">
        <f>SUM(62+H8+'23 Sept - 29 Sept'!H8+'30 Sept - 6 Oct'!H8+'7 Oct - 13 Oct'!H8)</f>
        <v/>
      </c>
      <c r="K8" s="172">
        <f>IFERROR(J8/SUM(F8),0)</f>
        <v/>
      </c>
      <c r="L8" s="188" t="n">
        <v>28499.74</v>
      </c>
      <c r="M8" s="89">
        <f>SUM(L8/D8)</f>
        <v/>
      </c>
      <c r="N8" s="130" t="n">
        <v>4267.37</v>
      </c>
      <c r="O8" s="26" t="n"/>
    </row>
    <row r="9" ht="15.6" customHeight="1">
      <c r="A9" s="409" t="inlineStr">
        <is>
          <t>Rosebank</t>
        </is>
      </c>
      <c r="B9" s="200">
        <f>'7 Oct - 13 Oct'!D9</f>
        <v/>
      </c>
      <c r="C9" s="73" t="n">
        <v>377913.24</v>
      </c>
      <c r="D9" s="145" t="n">
        <v>321762.17</v>
      </c>
      <c r="E9" s="163">
        <f>IFERROR((SUM(D9-C9)/C9),0)</f>
        <v/>
      </c>
      <c r="F9" s="166" t="n">
        <v>2245</v>
      </c>
      <c r="G9" s="63">
        <f>IFERROR(D9/F9,0)</f>
        <v/>
      </c>
      <c r="H9" s="61" t="n">
        <v>85</v>
      </c>
      <c r="I9" s="169">
        <f>IFERROR(H9/F9,0)</f>
        <v/>
      </c>
      <c r="J9" s="46">
        <f>SUM(62+H9+'23 Sept - 29 Sept'!H9+'30 Sept - 6 Oct'!H9+'7 Oct - 13 Oct'!H9)</f>
        <v/>
      </c>
      <c r="K9" s="172">
        <f>IFERROR(J9/SUM(F9),0)</f>
        <v/>
      </c>
      <c r="L9" s="188" t="n">
        <v>19480.61</v>
      </c>
      <c r="M9" s="89">
        <f>SUM(L9/D9)</f>
        <v/>
      </c>
      <c r="N9" s="130" t="n">
        <v>11570.55</v>
      </c>
      <c r="O9" s="26" t="n"/>
    </row>
    <row r="10" ht="15.6" customHeight="1">
      <c r="A10" s="409" t="inlineStr">
        <is>
          <t xml:space="preserve">Waterkloof </t>
        </is>
      </c>
      <c r="B10" s="200">
        <f>'7 Oct - 13 Oct'!D10</f>
        <v/>
      </c>
      <c r="C10" s="73" t="n">
        <v>129317.66</v>
      </c>
      <c r="D10" s="145" t="n">
        <v>138165.29</v>
      </c>
      <c r="E10" s="163">
        <f>IFERROR((SUM(D10-C10)/C10),0)</f>
        <v/>
      </c>
      <c r="F10" s="166" t="n">
        <v>948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Oct'!H10)</f>
        <v/>
      </c>
      <c r="K10" s="172">
        <f>IFERROR(J10/SUM(F10),0)</f>
        <v/>
      </c>
      <c r="L10" s="188" t="n">
        <v>37470.56</v>
      </c>
      <c r="M10" s="89">
        <f>SUM(L10/D10)</f>
        <v/>
      </c>
      <c r="N10" s="130" t="n">
        <v>6988.4</v>
      </c>
      <c r="O10" s="26" t="n"/>
    </row>
    <row r="11" ht="15.6" customHeight="1">
      <c r="A11" s="409" t="inlineStr">
        <is>
          <t>Eagles Landing</t>
        </is>
      </c>
      <c r="B11" s="200">
        <f>'7 Oct - 13 Oct'!D11</f>
        <v/>
      </c>
      <c r="C11" s="73" t="n">
        <v>314124.37</v>
      </c>
      <c r="D11" s="145" t="n">
        <v>325751.75</v>
      </c>
      <c r="E11" s="163">
        <f>IFERROR((SUM(D11-C11)/C11),0)</f>
        <v/>
      </c>
      <c r="F11" s="166" t="n">
        <v>2073</v>
      </c>
      <c r="G11" s="63">
        <f>IFERROR(D11/F11,0)</f>
        <v/>
      </c>
      <c r="H11" s="61" t="n">
        <v>150</v>
      </c>
      <c r="I11" s="169">
        <f>IFERROR(H11/F11,0)</f>
        <v/>
      </c>
      <c r="J11" s="46">
        <f>SUM(62+H11+'23 Sept - 29 Sept'!H11+'30 Sept - 6 Oct'!H11+'7 Oct - 13 Oct'!H11)</f>
        <v/>
      </c>
      <c r="K11" s="172">
        <f>IFERROR(J11/SUM(F11),0)</f>
        <v/>
      </c>
      <c r="L11" s="188" t="n">
        <v>54928.96</v>
      </c>
      <c r="M11" s="89">
        <f>SUM(L11/D11)</f>
        <v/>
      </c>
      <c r="N11" s="130" t="n">
        <v>21804.3</v>
      </c>
      <c r="O11" s="26" t="n"/>
    </row>
    <row r="12" ht="15.6" customHeight="1">
      <c r="A12" s="198" t="inlineStr">
        <is>
          <t>Stellenbosch</t>
        </is>
      </c>
      <c r="B12" s="200">
        <f>'7 Oct - 13 Oct'!D12</f>
        <v/>
      </c>
      <c r="C12" s="73" t="n">
        <v>122918.08</v>
      </c>
      <c r="D12" s="145" t="n">
        <v>144094.25</v>
      </c>
      <c r="E12" s="163">
        <f>IFERROR((SUM(D12-C12)/C12),0)</f>
        <v/>
      </c>
      <c r="F12" s="166" t="n">
        <v>1104</v>
      </c>
      <c r="G12" s="63">
        <f>IFERROR(D12/F12,0)</f>
        <v/>
      </c>
      <c r="H12" s="61" t="n">
        <v>56</v>
      </c>
      <c r="I12" s="169">
        <f>IFERROR(H12/F12,0)</f>
        <v/>
      </c>
      <c r="J12" s="46">
        <f>SUM(62+H12+'23 Sept - 29 Sept'!H12+'30 Sept - 6 Oct'!H12+'7 Oct - 13 Oct'!H12)</f>
        <v/>
      </c>
      <c r="K12" s="172">
        <f>IFERROR(J12/SUM(F12),0)</f>
        <v/>
      </c>
      <c r="L12" s="188" t="n">
        <v>24280.13</v>
      </c>
      <c r="M12" s="89">
        <f>SUM(L12/D12)</f>
        <v/>
      </c>
      <c r="N12" s="130" t="n">
        <v>9717.25</v>
      </c>
      <c r="O12" s="26" t="n"/>
    </row>
    <row r="13" ht="15.6" customHeight="1">
      <c r="A13" s="198" t="inlineStr">
        <is>
          <t>Lynnwood</t>
        </is>
      </c>
      <c r="B13" s="200">
        <f>'7 Oct - 13 Oct'!D13</f>
        <v/>
      </c>
      <c r="C13" s="73" t="n">
        <v>200136.97</v>
      </c>
      <c r="D13" s="145" t="n">
        <v>204599.91</v>
      </c>
      <c r="E13" s="163">
        <f>IFERROR((SUM(D13-C13)/C13),0)</f>
        <v/>
      </c>
      <c r="F13" s="166" t="n">
        <v>1602</v>
      </c>
      <c r="G13" s="63">
        <f>IFERROR(D13/F13,0)</f>
        <v/>
      </c>
      <c r="H13" s="61" t="n">
        <v>92</v>
      </c>
      <c r="I13" s="169">
        <f>IFERROR(H13/F13,0)</f>
        <v/>
      </c>
      <c r="J13" s="46">
        <f>SUM(62+H13+'23 Sept - 29 Sept'!H13+'30 Sept - 6 Oct'!H13+'7 Oct - 13 Oct'!H13)</f>
        <v/>
      </c>
      <c r="K13" s="172">
        <f>IFERROR(J13/SUM(F13),0)</f>
        <v/>
      </c>
      <c r="L13" s="188" t="n">
        <v>32747.09</v>
      </c>
      <c r="M13" s="89">
        <f>SUM(L13/D13)</f>
        <v/>
      </c>
      <c r="N13" s="130" t="n">
        <v>12207.6</v>
      </c>
      <c r="O13" s="26" t="n"/>
    </row>
    <row r="14" hidden="1" ht="15.6" customHeight="1">
      <c r="A14" s="198" t="inlineStr">
        <is>
          <t>Wellington</t>
        </is>
      </c>
      <c r="B14" s="200">
        <f>'7 Oct - 13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'7 Oct - 13 Oct'!D15</f>
        <v/>
      </c>
      <c r="C15" s="73" t="n">
        <v>137169.71</v>
      </c>
      <c r="D15" s="145" t="n">
        <v>180048.8</v>
      </c>
      <c r="E15" s="163">
        <f>IFERROR((SUM(D15-C15)/C15),0)</f>
        <v/>
      </c>
      <c r="F15" s="166" t="n">
        <v>1529</v>
      </c>
      <c r="G15" s="63">
        <f>IFERROR(D15/F15,0)</f>
        <v/>
      </c>
      <c r="H15" s="61" t="n">
        <v>92</v>
      </c>
      <c r="I15" s="169">
        <f>IFERROR(H15/F15,0)</f>
        <v/>
      </c>
      <c r="J15" s="46">
        <f>SUM(62+H15+'23 Sept - 29 Sept'!H15+'30 Sept - 6 Oct'!H15+'7 Oct - 13 Oct'!H15)</f>
        <v/>
      </c>
      <c r="K15" s="172">
        <f>IFERROR(J15/SUM(F15),0)</f>
        <v/>
      </c>
      <c r="L15" s="188" t="n">
        <v>9623.040000000001</v>
      </c>
      <c r="M15" s="89">
        <f>SUM(L15/D15)</f>
        <v/>
      </c>
      <c r="N15" s="130" t="n">
        <v>6609.8</v>
      </c>
      <c r="O15" s="9" t="n"/>
    </row>
    <row r="16" ht="15.6" customHeight="1">
      <c r="A16" s="198" t="inlineStr">
        <is>
          <t>Kyalami Corner</t>
        </is>
      </c>
      <c r="B16" s="200">
        <f>'7 Oct - 13 Oct'!D16</f>
        <v/>
      </c>
      <c r="C16" s="73" t="n">
        <v>110320.85</v>
      </c>
      <c r="D16" s="145" t="n">
        <v>117277.55</v>
      </c>
      <c r="E16" s="163">
        <f>IFERROR((SUM(D16-C16)/C16),0)</f>
        <v/>
      </c>
      <c r="F16" s="166" t="n">
        <v>793</v>
      </c>
      <c r="G16" s="63">
        <f>IFERROR(D16/F16,0)</f>
        <v/>
      </c>
      <c r="H16" s="61" t="n">
        <v>45</v>
      </c>
      <c r="I16" s="169">
        <f>IFERROR(H16/F16,0)</f>
        <v/>
      </c>
      <c r="J16" s="46">
        <f>SUM(62+H16+'23 Sept - 29 Sept'!H16+'30 Sept - 6 Oct'!H16+'7 Oct - 13 Oct'!H16)</f>
        <v/>
      </c>
      <c r="K16" s="172">
        <f>IFERROR(J16/SUM(F16),0)</f>
        <v/>
      </c>
      <c r="L16" s="188" t="n">
        <v>25963.09</v>
      </c>
      <c r="M16" s="89">
        <f>SUM(L16/D16)</f>
        <v/>
      </c>
      <c r="N16" s="130" t="n">
        <v>8561</v>
      </c>
      <c r="O16" s="9" t="n"/>
    </row>
    <row r="17" ht="15.6" customHeight="1">
      <c r="A17" s="198" t="inlineStr">
        <is>
          <t>Paulshof</t>
        </is>
      </c>
      <c r="B17" s="200">
        <f>'7 Oct - 13 Oct'!D17</f>
        <v/>
      </c>
      <c r="C17" s="73" t="n">
        <v>204905.51</v>
      </c>
      <c r="D17" s="145" t="n">
        <v>219205.08</v>
      </c>
      <c r="E17" s="163">
        <f>IFERROR((SUM(D17-C17)/C17),0)</f>
        <v/>
      </c>
      <c r="F17" s="166" t="n">
        <v>1414</v>
      </c>
      <c r="G17" s="63">
        <f>IFERROR(D17/F17,0)</f>
        <v/>
      </c>
      <c r="H17" s="61" t="n">
        <v>111</v>
      </c>
      <c r="I17" s="169">
        <f>IFERROR(H17/F17,0)</f>
        <v/>
      </c>
      <c r="J17" s="46">
        <f>SUM(62+H17+'23 Sept - 29 Sept'!H17+'30 Sept - 6 Oct'!H17+'7 Oct - 13 Oct'!H17)</f>
        <v/>
      </c>
      <c r="K17" s="172">
        <f>IFERROR(J17/SUM(F17),0)</f>
        <v/>
      </c>
      <c r="L17" s="188" t="n">
        <v>26818.7</v>
      </c>
      <c r="M17" s="89">
        <f>SUM(L17/D17)</f>
        <v/>
      </c>
      <c r="N17" s="130" t="n">
        <v>11839.35</v>
      </c>
      <c r="O17" s="9" t="n"/>
    </row>
    <row r="18" ht="16.2" customHeight="1" thickBot="1">
      <c r="A18" s="199" t="inlineStr">
        <is>
          <t>Queenswood</t>
        </is>
      </c>
      <c r="B18" s="201">
        <f>'7 Oct - 13 Oct'!D18</f>
        <v/>
      </c>
      <c r="C18" s="131" t="n"/>
      <c r="D18" s="146" t="n">
        <v>152946.78</v>
      </c>
      <c r="E18" s="164">
        <f>IFERROR((SUM(D18-C18)/C18),0)</f>
        <v/>
      </c>
      <c r="F18" s="167" t="n">
        <v>1215</v>
      </c>
      <c r="G18" s="132">
        <f>IFERROR(D18/F18,0)</f>
        <v/>
      </c>
      <c r="H18" s="133" t="n">
        <v>90</v>
      </c>
      <c r="I18" s="170">
        <f>IFERROR(H18/F18,0)</f>
        <v/>
      </c>
      <c r="J18" s="115">
        <f>SUM(62+H18+'23 Sept - 29 Sept'!H18+'30 Sept - 6 Oct'!H18+'7 Oct - 13 Oct'!H18)</f>
        <v/>
      </c>
      <c r="K18" s="173">
        <f>IFERROR(J18/SUM(F18),0)</f>
        <v/>
      </c>
      <c r="L18" s="189" t="n">
        <v>22053.52</v>
      </c>
      <c r="M18" s="116">
        <f>SUM(L18/D18)</f>
        <v/>
      </c>
      <c r="N18" s="134" t="n">
        <v>3417.4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'14 Oct - 20 Oct'!D6</f>
        <v/>
      </c>
      <c r="C6" s="123" t="n">
        <v>232688.85</v>
      </c>
      <c r="D6" s="197" t="n">
        <v>235865.33</v>
      </c>
      <c r="E6" s="162">
        <f>IFERROR((SUM(D6-C6)/C6),0)</f>
        <v/>
      </c>
      <c r="F6" s="165" t="n">
        <v>1807</v>
      </c>
      <c r="G6" s="124">
        <f>IFERROR(D6/F6,0)</f>
        <v/>
      </c>
      <c r="H6" s="125" t="n">
        <v>86</v>
      </c>
      <c r="I6" s="168">
        <f>IFERROR(H6/F6,0)</f>
        <v/>
      </c>
      <c r="J6" s="46">
        <f>SUM(62+H6+'23 Sept - 29 Sept'!H6+'30 Sept - 6 Oct'!H6+'7 Oct - 13 Oct'!H6+'14 Oct - 20 Oct'!H6)</f>
        <v/>
      </c>
      <c r="K6" s="171">
        <f>IFERROR(J6/SUM(F6),0)</f>
        <v/>
      </c>
      <c r="L6" s="191" t="n">
        <v>37260.78</v>
      </c>
      <c r="M6" s="128">
        <f>SUM(L6/D6)</f>
        <v/>
      </c>
      <c r="N6" s="129" t="n">
        <v>13245.9</v>
      </c>
      <c r="O6" s="26" t="n"/>
    </row>
    <row r="7" ht="15.6" customHeight="1">
      <c r="A7" s="409" t="inlineStr">
        <is>
          <t>Melrose Arch</t>
        </is>
      </c>
      <c r="B7" s="200">
        <f>'14 Oct - 20 Oct'!D7</f>
        <v/>
      </c>
      <c r="C7" s="73" t="n">
        <v>53942.16</v>
      </c>
      <c r="D7" s="145" t="n">
        <v>214438.21</v>
      </c>
      <c r="E7" s="163">
        <f>IFERROR((SUM(D7-C7)/C7),0)</f>
        <v/>
      </c>
      <c r="F7" s="166" t="n">
        <v>1590</v>
      </c>
      <c r="G7" s="63">
        <f>IFERROR(D7/F7,0)</f>
        <v/>
      </c>
      <c r="H7" s="61" t="n">
        <v>114</v>
      </c>
      <c r="I7" s="169">
        <f>IFERROR(H7/F7,0)</f>
        <v/>
      </c>
      <c r="J7" s="46">
        <f>SUM(62+H7+'23 Sept - 29 Sept'!H7+'30 Sept - 6 Oct'!H7+'7 Oct - 13 Oct'!H7+'14 Oct - 20 Oct'!H7)</f>
        <v/>
      </c>
      <c r="K7" s="172">
        <f>IFERROR(J7/SUM(F7),0)</f>
        <v/>
      </c>
      <c r="L7" s="188" t="n">
        <v>28152.48</v>
      </c>
      <c r="M7" s="89">
        <f>SUM(L7/D7)</f>
        <v/>
      </c>
      <c r="N7" s="130" t="n">
        <v>17323.25</v>
      </c>
      <c r="O7" s="26" t="n"/>
    </row>
    <row r="8" ht="15.6" customHeight="1">
      <c r="A8" s="409" t="inlineStr">
        <is>
          <t>Melville</t>
        </is>
      </c>
      <c r="B8" s="200">
        <f>'14 Oct - 20 Oct'!D8</f>
        <v/>
      </c>
      <c r="C8" s="73" t="n">
        <v>112191.76</v>
      </c>
      <c r="D8" s="145" t="n">
        <v>120214.26</v>
      </c>
      <c r="E8" s="163">
        <f>IFERROR((SUM(D8-C8)/C8),0)</f>
        <v/>
      </c>
      <c r="F8" s="166" t="n">
        <v>773</v>
      </c>
      <c r="G8" s="63">
        <f>IFERROR(D8/F8,0)</f>
        <v/>
      </c>
      <c r="H8" s="61" t="n">
        <v>45</v>
      </c>
      <c r="I8" s="169">
        <f>IFERROR(H8/F8,0)</f>
        <v/>
      </c>
      <c r="J8" s="46">
        <f>SUM(62+H8+'23 Sept - 29 Sept'!H8+'30 Sept - 6 Oct'!H8+'7 Oct - 13 Oct'!H8+'14 Oct - 20 Oct'!H8)</f>
        <v/>
      </c>
      <c r="K8" s="172">
        <f>IFERROR(J8/SUM(F8),0)</f>
        <v/>
      </c>
      <c r="L8" s="188" t="n">
        <v>35720.96</v>
      </c>
      <c r="M8" s="89">
        <f>SUM(L8/D8)</f>
        <v/>
      </c>
      <c r="N8" s="130" t="n">
        <v>4990.1</v>
      </c>
      <c r="O8" s="26" t="n"/>
    </row>
    <row r="9" ht="15.6" customHeight="1">
      <c r="A9" s="409" t="inlineStr">
        <is>
          <t>Rosebank</t>
        </is>
      </c>
      <c r="B9" s="200">
        <f>'14 Oct - 20 Oct'!D9</f>
        <v/>
      </c>
      <c r="C9" s="73" t="n">
        <v>362627.37</v>
      </c>
      <c r="D9" s="145" t="n">
        <v>310997.36</v>
      </c>
      <c r="E9" s="163">
        <f>IFERROR((SUM(D9-C9)/C9),0)</f>
        <v/>
      </c>
      <c r="F9" s="166" t="n">
        <v>2111</v>
      </c>
      <c r="G9" s="63">
        <f>IFERROR(D9/F9,0)</f>
        <v/>
      </c>
      <c r="H9" s="61" t="n">
        <v>51</v>
      </c>
      <c r="I9" s="169">
        <f>IFERROR(H9/F9,0)</f>
        <v/>
      </c>
      <c r="J9" s="46">
        <f>SUM(62+H9+'23 Sept - 29 Sept'!H9+'30 Sept - 6 Oct'!H9+'7 Oct - 13 Oct'!H9+'14 Oct - 20 Oct'!H9)</f>
        <v/>
      </c>
      <c r="K9" s="172">
        <f>IFERROR(J9/SUM(F9),0)</f>
        <v/>
      </c>
      <c r="L9" s="188" t="n">
        <v>27265.13</v>
      </c>
      <c r="M9" s="89">
        <f>SUM(L9/D9)</f>
        <v/>
      </c>
      <c r="N9" s="130" t="n">
        <v>13619.55</v>
      </c>
      <c r="O9" s="26" t="n"/>
    </row>
    <row r="10" ht="15.6" customHeight="1">
      <c r="A10" s="409" t="inlineStr">
        <is>
          <t xml:space="preserve">Waterkloof </t>
        </is>
      </c>
      <c r="B10" s="200">
        <f>'14 Oct - 20 Oct'!D10</f>
        <v/>
      </c>
      <c r="C10" s="73" t="n">
        <v>139413.9</v>
      </c>
      <c r="D10" s="145" t="n">
        <v>136515.1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63</v>
      </c>
      <c r="I10" s="169">
        <f>IFERROR(H10/F10,0)</f>
        <v/>
      </c>
      <c r="J10" s="46">
        <f>SUM(62+H10+'23 Sept - 29 Sept'!H10+'30 Sept - 6 Oct'!H10+'7 Oct - 13 Oct'!H10+'14 Oct - 20 Oct'!H10)</f>
        <v/>
      </c>
      <c r="K10" s="172">
        <f>IFERROR(J10/SUM(F10),0)</f>
        <v/>
      </c>
      <c r="L10" s="188" t="n">
        <v>38734.52</v>
      </c>
      <c r="M10" s="89">
        <f>SUM(L10/D10)</f>
        <v/>
      </c>
      <c r="N10" s="130" t="n">
        <v>8912.77</v>
      </c>
      <c r="O10" s="26" t="n"/>
    </row>
    <row r="11" ht="15.6" customHeight="1">
      <c r="A11" s="409" t="inlineStr">
        <is>
          <t>Eagles Landing</t>
        </is>
      </c>
      <c r="B11" s="200">
        <f>'14 Oct - 20 Oct'!D11</f>
        <v/>
      </c>
      <c r="C11" s="73" t="n">
        <v>304811.66</v>
      </c>
      <c r="D11" s="145" t="n">
        <v>315240.35</v>
      </c>
      <c r="E11" s="163">
        <f>IFERROR((SUM(D11-C11)/C11),0)</f>
        <v/>
      </c>
      <c r="F11" s="166" t="n">
        <v>2061</v>
      </c>
      <c r="G11" s="63">
        <f>IFERROR(D11/F11,0)</f>
        <v/>
      </c>
      <c r="H11" s="61" t="n">
        <v>165</v>
      </c>
      <c r="I11" s="169">
        <f>IFERROR(H11/F11,0)</f>
        <v/>
      </c>
      <c r="J11" s="46">
        <f>SUM(62+H11+'23 Sept - 29 Sept'!H11+'30 Sept - 6 Oct'!H11+'7 Oct - 13 Oct'!H11+'14 Oct - 20 Oct'!H11)</f>
        <v/>
      </c>
      <c r="K11" s="172">
        <f>IFERROR(J11/SUM(F11),0)</f>
        <v/>
      </c>
      <c r="L11" s="188" t="n">
        <v>50687.7</v>
      </c>
      <c r="M11" s="89">
        <f>SUM(L11/D11)</f>
        <v/>
      </c>
      <c r="N11" s="130" t="n">
        <v>18679.4</v>
      </c>
      <c r="O11" s="26" t="n"/>
    </row>
    <row r="12" ht="15.6" customHeight="1">
      <c r="A12" s="198" t="inlineStr">
        <is>
          <t>Stellenbosch</t>
        </is>
      </c>
      <c r="B12" s="200">
        <f>'14 Oct - 20 Oct'!D12</f>
        <v/>
      </c>
      <c r="C12" s="73" t="n">
        <v>125171.07</v>
      </c>
      <c r="D12" s="145" t="n">
        <v>141945</v>
      </c>
      <c r="E12" s="163">
        <f>IFERROR((SUM(D12-C12)/C12),0)</f>
        <v/>
      </c>
      <c r="F12" s="166" t="n">
        <v>1120</v>
      </c>
      <c r="G12" s="63">
        <f>IFERROR(D12/F12,0)</f>
        <v/>
      </c>
      <c r="H12" s="61" t="n">
        <v>70</v>
      </c>
      <c r="I12" s="169">
        <f>IFERROR(H12/F12,0)</f>
        <v/>
      </c>
      <c r="J12" s="46">
        <f>SUM(62+H12+'23 Sept - 29 Sept'!H12+'30 Sept - 6 Oct'!H12+'7 Oct - 13 Oct'!H12+'14 Oct - 20 Oct'!H12)</f>
        <v/>
      </c>
      <c r="K12" s="172">
        <f>IFERROR(J12/SUM(F12),0)</f>
        <v/>
      </c>
      <c r="L12" s="188" t="n">
        <v>21807.61</v>
      </c>
      <c r="M12" s="89">
        <f>SUM(L12/D12)</f>
        <v/>
      </c>
      <c r="N12" s="130" t="n">
        <v>14033</v>
      </c>
      <c r="O12" s="26" t="n"/>
    </row>
    <row r="13" ht="15.6" customHeight="1">
      <c r="A13" s="198" t="inlineStr">
        <is>
          <t>Lynnwood</t>
        </is>
      </c>
      <c r="B13" s="200">
        <f>'14 Oct - 20 Oct'!D13</f>
        <v/>
      </c>
      <c r="C13" s="73" t="n">
        <v>228423.59</v>
      </c>
      <c r="D13" s="145" t="n">
        <v>194970.43</v>
      </c>
      <c r="E13" s="163">
        <f>IFERROR((SUM(D13-C13)/C13),0)</f>
        <v/>
      </c>
      <c r="F13" s="166" t="n">
        <v>1489</v>
      </c>
      <c r="G13" s="63">
        <f>IFERROR(D13/F13,0)</f>
        <v/>
      </c>
      <c r="H13" s="61" t="n">
        <v>94</v>
      </c>
      <c r="I13" s="169">
        <f>IFERROR(H13/F13,0)</f>
        <v/>
      </c>
      <c r="J13" s="46">
        <f>SUM(62+H13+'23 Sept - 29 Sept'!H13+'30 Sept - 6 Oct'!H13+'7 Oct - 13 Oct'!H13+'14 Oct - 20 Oct'!H13)</f>
        <v/>
      </c>
      <c r="K13" s="172">
        <f>IFERROR(J13/SUM(F13),0)</f>
        <v/>
      </c>
      <c r="L13" s="188" t="n">
        <v>38080.17</v>
      </c>
      <c r="M13" s="89">
        <f>SUM(L13/D13)</f>
        <v/>
      </c>
      <c r="N13" s="130" t="n">
        <v>8659.5</v>
      </c>
      <c r="O13" s="26" t="n"/>
    </row>
    <row r="14" hidden="1" ht="15.6" customHeight="1">
      <c r="A14" s="198" t="inlineStr">
        <is>
          <t>Wellington</t>
        </is>
      </c>
      <c r="B14" s="200">
        <f>'14 Oct - 20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'14 Oct - 20 Oct'!D15</f>
        <v/>
      </c>
      <c r="C15" s="73" t="n">
        <v>158104.99</v>
      </c>
      <c r="D15" s="145" t="n">
        <v>142533.66</v>
      </c>
      <c r="E15" s="163">
        <f>IFERROR((SUM(D15-C15)/C15),0)</f>
        <v/>
      </c>
      <c r="F15" s="166" t="n">
        <v>1195</v>
      </c>
      <c r="G15" s="63">
        <f>IFERROR(D15/F15,0)</f>
        <v/>
      </c>
      <c r="H15" s="61" t="n">
        <v>57</v>
      </c>
      <c r="I15" s="169">
        <f>IFERROR(H15/F15,0)</f>
        <v/>
      </c>
      <c r="J15" s="46">
        <f>SUM(62+H15+'23 Sept - 29 Sept'!H15+'30 Sept - 6 Oct'!H15+'7 Oct - 13 Oct'!H15+'14 Oct - 20 Oct'!H15)</f>
        <v/>
      </c>
      <c r="K15" s="172">
        <f>IFERROR(J15/SUM(F15),0)</f>
        <v/>
      </c>
      <c r="L15" s="188" t="n">
        <v>4636.52</v>
      </c>
      <c r="M15" s="89">
        <f>SUM(L15/D15)</f>
        <v/>
      </c>
      <c r="N15" s="130" t="n">
        <v>4673.96</v>
      </c>
      <c r="O15" s="9" t="n"/>
    </row>
    <row r="16" ht="15.6" customHeight="1">
      <c r="A16" s="198" t="inlineStr">
        <is>
          <t>Kyalami Corner</t>
        </is>
      </c>
      <c r="B16" s="200">
        <f>'14 Oct - 20 Oct'!D16</f>
        <v/>
      </c>
      <c r="C16" s="73" t="n">
        <v>115349.58</v>
      </c>
      <c r="D16" s="145" t="n">
        <v>120179.35</v>
      </c>
      <c r="E16" s="163">
        <f>IFERROR((SUM(D16-C16)/C16),0)</f>
        <v/>
      </c>
      <c r="F16" s="166" t="n">
        <v>816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Oct'!H16)</f>
        <v/>
      </c>
      <c r="K16" s="172">
        <f>IFERROR(J16/SUM(F16),0)</f>
        <v/>
      </c>
      <c r="L16" s="188" t="n">
        <v>25665.39</v>
      </c>
      <c r="M16" s="89">
        <f>SUM(L16/D16)</f>
        <v/>
      </c>
      <c r="N16" s="130" t="n">
        <v>9052</v>
      </c>
      <c r="O16" s="9" t="n"/>
    </row>
    <row r="17" ht="15.6" customHeight="1">
      <c r="A17" s="198" t="inlineStr">
        <is>
          <t>Paulshof</t>
        </is>
      </c>
      <c r="B17" s="200">
        <f>'14 Oct - 20 Oct'!D17</f>
        <v/>
      </c>
      <c r="C17" s="73" t="n">
        <v>216726.79</v>
      </c>
      <c r="D17" s="145" t="n">
        <v>227123.11</v>
      </c>
      <c r="E17" s="163">
        <f>IFERROR((SUM(D17-C17)/C17),0)</f>
        <v/>
      </c>
      <c r="F17" s="166" t="n">
        <v>1449</v>
      </c>
      <c r="G17" s="63">
        <f>IFERROR(D17/F17,0)</f>
        <v/>
      </c>
      <c r="H17" s="61" t="n">
        <v>107</v>
      </c>
      <c r="I17" s="169">
        <f>IFERROR(H17/F17,0)</f>
        <v/>
      </c>
      <c r="J17" s="46">
        <f>SUM(62+H17+'23 Sept - 29 Sept'!H17+'30 Sept - 6 Oct'!H17+'7 Oct - 13 Oct'!H17+'14 Oct - 20 Oct'!H17)</f>
        <v/>
      </c>
      <c r="K17" s="172">
        <f>IFERROR(J17/SUM(F17),0)</f>
        <v/>
      </c>
      <c r="L17" s="188" t="n">
        <v>32074.04</v>
      </c>
      <c r="M17" s="89">
        <f>SUM(L17/D17)</f>
        <v/>
      </c>
      <c r="N17" s="130" t="n">
        <v>10869.15</v>
      </c>
      <c r="O17" s="9" t="n"/>
    </row>
    <row r="18" ht="16.2" customHeight="1" thickBot="1">
      <c r="A18" s="199" t="inlineStr">
        <is>
          <t>Queenswood</t>
        </is>
      </c>
      <c r="B18" s="201">
        <f>'14 Oct - 20 Oct'!D18</f>
        <v/>
      </c>
      <c r="C18" s="131" t="n"/>
      <c r="D18" s="146" t="n">
        <v>161595.07</v>
      </c>
      <c r="E18" s="164">
        <f>IFERROR((SUM(D18-C18)/C18),0)</f>
        <v/>
      </c>
      <c r="F18" s="167" t="n">
        <v>1256</v>
      </c>
      <c r="G18" s="132">
        <f>IFERROR(D18/F18,0)</f>
        <v/>
      </c>
      <c r="H18" s="133" t="n">
        <v>98</v>
      </c>
      <c r="I18" s="170">
        <f>IFERROR(H18/F18,0)</f>
        <v/>
      </c>
      <c r="J18" s="115">
        <f>SUM(62+H18+'23 Sept - 29 Sept'!H18+'30 Sept - 6 Oct'!H18+'7 Oct - 13 Oct'!H18+'14 Oct - 20 Oct'!H18)</f>
        <v/>
      </c>
      <c r="K18" s="173">
        <f>IFERROR(J18/SUM(F18),0)</f>
        <v/>
      </c>
      <c r="L18" s="189" t="n">
        <v>26363.9</v>
      </c>
      <c r="M18" s="116">
        <f>SUM(L18/D18)</f>
        <v/>
      </c>
      <c r="N18" s="134" t="n">
        <v>2962.5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'21 Oct - 27 Oct'!D6</f>
        <v/>
      </c>
      <c r="C6" s="123" t="n">
        <v>240216.24</v>
      </c>
      <c r="D6" s="197" t="n">
        <v>230483.57</v>
      </c>
      <c r="E6" s="162">
        <f>IFERROR((SUM(D6-C6)/C6),0)</f>
        <v/>
      </c>
      <c r="F6" s="165" t="n">
        <v>1684</v>
      </c>
      <c r="G6" s="124">
        <f>IFERROR(D6/F6,0)</f>
        <v/>
      </c>
      <c r="H6" s="125" t="n">
        <v>89</v>
      </c>
      <c r="I6" s="168">
        <f>IFERROR(H6/F6,0)</f>
        <v/>
      </c>
      <c r="J6" s="46">
        <f>SUM(62+H6+'23 Sept - 29 Sept'!H6+'30 Sept - 6 Oct'!H6+'7 Oct - 13 Oct'!H6+'14 Oct - 20 Oct'!H6+'21 Oct - 27 Oct'!H6)</f>
        <v/>
      </c>
      <c r="K6" s="171">
        <f>IFERROR(J6/SUM(F6),0)</f>
        <v/>
      </c>
      <c r="L6" s="191" t="n">
        <v>33680.39</v>
      </c>
      <c r="M6" s="128">
        <f>SUM(L6/D6)</f>
        <v/>
      </c>
      <c r="N6" s="129" t="n">
        <v>16025.9</v>
      </c>
      <c r="O6" s="26" t="n"/>
    </row>
    <row r="7" ht="15.6" customHeight="1">
      <c r="A7" s="409" t="inlineStr">
        <is>
          <t>Melrose Arch</t>
        </is>
      </c>
      <c r="B7" s="200">
        <f>'21 Oct - 27 Oct'!D7</f>
        <v/>
      </c>
      <c r="C7" s="73" t="n">
        <v>149101.42</v>
      </c>
      <c r="D7" s="145" t="n">
        <v>291263.9</v>
      </c>
      <c r="E7" s="163">
        <f>IFERROR((SUM(D7-C7)/C7),0)</f>
        <v/>
      </c>
      <c r="F7" s="166" t="n">
        <v>1965</v>
      </c>
      <c r="G7" s="63">
        <f>IFERROR(D7/F7,0)</f>
        <v/>
      </c>
      <c r="H7" s="61" t="n">
        <v>116</v>
      </c>
      <c r="I7" s="169">
        <f>IFERROR(H7/F7,0)</f>
        <v/>
      </c>
      <c r="J7" s="46">
        <f>SUM(62+H7+'23 Sept - 29 Sept'!H7+'30 Sept - 6 Oct'!H7+'7 Oct - 13 Oct'!H7+'14 Oct - 20 Oct'!H7+'21 Oct - 27 Oct'!H7)</f>
        <v/>
      </c>
      <c r="K7" s="172">
        <f>IFERROR(J7/SUM(F7),0)</f>
        <v/>
      </c>
      <c r="L7" s="188" t="n">
        <v>39160.25</v>
      </c>
      <c r="M7" s="89">
        <f>SUM(L7/D7)</f>
        <v/>
      </c>
      <c r="N7" s="130" t="n">
        <v>29279.95</v>
      </c>
      <c r="O7" s="26" t="n"/>
    </row>
    <row r="8" ht="15.6" customHeight="1">
      <c r="A8" s="409" t="inlineStr">
        <is>
          <t>Melville</t>
        </is>
      </c>
      <c r="B8" s="200">
        <f>'21 Oct - 27 Oct'!D8</f>
        <v/>
      </c>
      <c r="C8" s="73" t="n">
        <v>116744.06</v>
      </c>
      <c r="D8" s="145" t="n">
        <v>105575.36</v>
      </c>
      <c r="E8" s="163">
        <f>IFERROR((SUM(D8-C8)/C8),0)</f>
        <v/>
      </c>
      <c r="F8" s="166" t="n">
        <v>754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Oct'!H8)</f>
        <v/>
      </c>
      <c r="K8" s="172">
        <f>IFERROR(J8/SUM(F8),0)</f>
        <v/>
      </c>
      <c r="L8" s="188" t="n">
        <v>28286.39</v>
      </c>
      <c r="M8" s="89">
        <f>SUM(L8/D8)</f>
        <v/>
      </c>
      <c r="N8" s="130" t="n">
        <v>4859</v>
      </c>
      <c r="O8" s="26" t="n"/>
    </row>
    <row r="9" ht="15.6" customHeight="1">
      <c r="A9" s="409" t="inlineStr">
        <is>
          <t>Rosebank</t>
        </is>
      </c>
      <c r="B9" s="200">
        <f>'21 Oct - 27 Oct'!D9</f>
        <v/>
      </c>
      <c r="C9" s="73" t="n">
        <v>308190.77</v>
      </c>
      <c r="D9" s="145" t="n">
        <v>333384.38</v>
      </c>
      <c r="E9" s="163">
        <f>IFERROR((SUM(D9-C9)/C9),0)</f>
        <v/>
      </c>
      <c r="F9" s="166" t="n">
        <v>2285</v>
      </c>
      <c r="G9" s="63">
        <f>IFERROR(D9/F9,0)</f>
        <v/>
      </c>
      <c r="H9" s="61" t="n">
        <v>69</v>
      </c>
      <c r="I9" s="169">
        <f>IFERROR(H9/F9,0)</f>
        <v/>
      </c>
      <c r="J9" s="46">
        <f>SUM(62+H9+'23 Sept - 29 Sept'!H9+'30 Sept - 6 Oct'!H9+'7 Oct - 13 Oct'!H9+'14 Oct - 20 Oct'!H9+'21 Oct - 27 Oct'!H9)</f>
        <v/>
      </c>
      <c r="K9" s="172">
        <f>IFERROR(J9/SUM(F9),0)</f>
        <v/>
      </c>
      <c r="L9" s="188" t="n">
        <v>22909.09</v>
      </c>
      <c r="M9" s="89">
        <f>SUM(L9/D9)</f>
        <v/>
      </c>
      <c r="N9" s="130" t="n">
        <v>11352.51</v>
      </c>
      <c r="O9" s="26" t="n"/>
    </row>
    <row r="10" ht="15.6" customHeight="1">
      <c r="A10" s="409" t="inlineStr">
        <is>
          <t xml:space="preserve">Waterkloof </t>
        </is>
      </c>
      <c r="B10" s="200">
        <f>'21 Oct - 27 Oct'!D10</f>
        <v/>
      </c>
      <c r="C10" s="73" t="n">
        <v>125359.7</v>
      </c>
      <c r="D10" s="145" t="n">
        <v>143482.11</v>
      </c>
      <c r="E10" s="163">
        <f>IFERROR((SUM(D10-C10)/C10),0)</f>
        <v/>
      </c>
      <c r="F10" s="166" t="n">
        <v>950</v>
      </c>
      <c r="G10" s="63">
        <f>IFERROR(D10/F10,0)</f>
        <v/>
      </c>
      <c r="H10" s="61" t="n">
        <v>71</v>
      </c>
      <c r="I10" s="169">
        <f>IFERROR(H10/F10,0)</f>
        <v/>
      </c>
      <c r="J10" s="46">
        <f>SUM(62+H10+'23 Sept - 29 Sept'!H10+'30 Sept - 6 Oct'!H10+'7 Oct - 13 Oct'!H10+'14 Oct - 20 Oct'!H10+'21 Oct - 27 Oct'!H10)</f>
        <v/>
      </c>
      <c r="K10" s="172">
        <f>IFERROR(J10/SUM(F10),0)</f>
        <v/>
      </c>
      <c r="L10" s="188" t="n">
        <v>45544.37</v>
      </c>
      <c r="M10" s="89">
        <f>SUM(L10/D10)</f>
        <v/>
      </c>
      <c r="N10" s="130" t="n">
        <v>8666.1</v>
      </c>
      <c r="O10" s="26" t="n"/>
    </row>
    <row r="11" ht="15.6" customHeight="1">
      <c r="A11" s="409" t="inlineStr">
        <is>
          <t>Eagles Landing</t>
        </is>
      </c>
      <c r="B11" s="200">
        <f>'21 Oct - 27 Oct'!D11</f>
        <v/>
      </c>
      <c r="C11" s="73" t="n">
        <v>357361.2</v>
      </c>
      <c r="D11" s="145" t="n">
        <v>341926.5</v>
      </c>
      <c r="E11" s="163">
        <f>IFERROR((SUM(D11-C11)/C11),0)</f>
        <v/>
      </c>
      <c r="F11" s="166" t="n">
        <v>2213</v>
      </c>
      <c r="G11" s="63">
        <f>IFERROR(D11/F11,0)</f>
        <v/>
      </c>
      <c r="H11" s="61" t="n">
        <v>128</v>
      </c>
      <c r="I11" s="169">
        <f>IFERROR(H11/F11,0)</f>
        <v/>
      </c>
      <c r="J11" s="46">
        <f>SUM(62+H11+'23 Sept - 29 Sept'!H11+'30 Sept - 6 Oct'!H11+'7 Oct - 13 Oct'!H11+'14 Oct - 20 Oct'!H11+'21 Oct - 27 Oct'!H11)</f>
        <v/>
      </c>
      <c r="K11" s="172">
        <f>IFERROR(J11/SUM(F11),0)</f>
        <v/>
      </c>
      <c r="L11" s="188" t="n">
        <v>50529.09</v>
      </c>
      <c r="M11" s="89">
        <f>SUM(L11/D11)</f>
        <v/>
      </c>
      <c r="N11" s="130" t="n">
        <v>16174.45</v>
      </c>
      <c r="O11" s="26" t="n"/>
    </row>
    <row r="12" ht="15.6" customHeight="1">
      <c r="A12" s="198" t="inlineStr">
        <is>
          <t>Stellenbosch</t>
        </is>
      </c>
      <c r="B12" s="200">
        <f>'21 Oct - 27 Oct'!D12</f>
        <v/>
      </c>
      <c r="C12" s="73" t="n">
        <v>137659.51</v>
      </c>
      <c r="D12" s="145" t="n">
        <v>142162.88</v>
      </c>
      <c r="E12" s="163">
        <f>IFERROR((SUM(D12-C12)/C12),0)</f>
        <v/>
      </c>
      <c r="F12" s="166" t="n">
        <v>1100</v>
      </c>
      <c r="G12" s="63">
        <f>IFERROR(D12/F12,0)</f>
        <v/>
      </c>
      <c r="H12" s="61" t="n">
        <v>83</v>
      </c>
      <c r="I12" s="169">
        <f>IFERROR(H12/F12,0)</f>
        <v/>
      </c>
      <c r="J12" s="46">
        <f>SUM(62+H12+'23 Sept - 29 Sept'!H12+'30 Sept - 6 Oct'!H12+'7 Oct - 13 Oct'!H12+'14 Oct - 20 Oct'!H12+'21 Oct - 27 Oct'!H12)</f>
        <v/>
      </c>
      <c r="K12" s="172">
        <f>IFERROR(J12/SUM(F12),0)</f>
        <v/>
      </c>
      <c r="L12" s="188" t="n">
        <v>23380.43</v>
      </c>
      <c r="M12" s="89">
        <f>SUM(L12/D12)</f>
        <v/>
      </c>
      <c r="N12" s="130" t="n">
        <v>12354</v>
      </c>
      <c r="O12" s="26" t="n"/>
    </row>
    <row r="13" ht="15.6" customHeight="1">
      <c r="A13" s="198" t="inlineStr">
        <is>
          <t>Lynnwood</t>
        </is>
      </c>
      <c r="B13" s="200">
        <f>'21 Oct - 27 Oct'!D13</f>
        <v/>
      </c>
      <c r="C13" s="73" t="n">
        <v>219864.65</v>
      </c>
      <c r="D13" s="145" t="n">
        <v>153888.89</v>
      </c>
      <c r="E13" s="163">
        <f>IFERROR((SUM(D13-C13)/C13),0)</f>
        <v/>
      </c>
      <c r="F13" s="166" t="n">
        <v>1253</v>
      </c>
      <c r="G13" s="63">
        <f>IFERROR(D13/F13,0)</f>
        <v/>
      </c>
      <c r="H13" s="61" t="n">
        <v>81</v>
      </c>
      <c r="I13" s="169">
        <f>IFERROR(H13/F13,0)</f>
        <v/>
      </c>
      <c r="J13" s="46">
        <f>SUM(62+H13+'23 Sept - 29 Sept'!H13+'30 Sept - 6 Oct'!H13+'7 Oct - 13 Oct'!H13+'14 Oct - 20 Oct'!H13+'21 Oct - 27 Oct'!H13)</f>
        <v/>
      </c>
      <c r="K13" s="172">
        <f>IFERROR(J13/SUM(F13),0)</f>
        <v/>
      </c>
      <c r="L13" s="188" t="n">
        <v>24427.39</v>
      </c>
      <c r="M13" s="89">
        <f>SUM(L13/D13)</f>
        <v/>
      </c>
      <c r="N13" s="130" t="n">
        <v>7923.1</v>
      </c>
      <c r="O13" s="26" t="n"/>
    </row>
    <row r="14" hidden="1" ht="15.6" customHeight="1">
      <c r="A14" s="198" t="inlineStr">
        <is>
          <t>Wellington</t>
        </is>
      </c>
      <c r="B14" s="200">
        <f>'21 Oct - 27 Oct'!D14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'21 Oct - 27 Oct'!D15</f>
        <v/>
      </c>
      <c r="C15" s="73" t="n">
        <v>171766.33</v>
      </c>
      <c r="D15" s="145" t="n">
        <v>161616.66</v>
      </c>
      <c r="E15" s="163">
        <f>IFERROR((SUM(D15-C15)/C15),0)</f>
        <v/>
      </c>
      <c r="F15" s="166" t="n">
        <v>1318</v>
      </c>
      <c r="G15" s="63">
        <f>IFERROR(D15/F15,0)</f>
        <v/>
      </c>
      <c r="H15" s="61" t="n">
        <v>90</v>
      </c>
      <c r="I15" s="169">
        <f>IFERROR(H15/F15,0)</f>
        <v/>
      </c>
      <c r="J15" s="46">
        <f>SUM(62+H15+'23 Sept - 29 Sept'!H15+'30 Sept - 6 Oct'!H15+'7 Oct - 13 Oct'!H15+'14 Oct - 20 Oct'!H15+'21 Oct - 27 Oct'!H15)</f>
        <v/>
      </c>
      <c r="K15" s="172">
        <f>IFERROR(J15/SUM(F15),0)</f>
        <v/>
      </c>
      <c r="L15" s="188" t="n">
        <v>9140.959999999999</v>
      </c>
      <c r="M15" s="89">
        <f>SUM(L15/D15)</f>
        <v/>
      </c>
      <c r="N15" s="130" t="n">
        <v>6528.75</v>
      </c>
      <c r="O15" s="9" t="n"/>
    </row>
    <row r="16" ht="15.6" customHeight="1">
      <c r="A16" s="198" t="inlineStr">
        <is>
          <t>Kyalami Corner</t>
        </is>
      </c>
      <c r="B16" s="200">
        <f>'21 Oct - 27 Oct'!D16</f>
        <v/>
      </c>
      <c r="C16" s="73" t="n">
        <v>113012.36</v>
      </c>
      <c r="D16" s="145" t="n">
        <v>119031.85</v>
      </c>
      <c r="E16" s="163">
        <f>IFERROR((SUM(D16-C16)/C16),0)</f>
        <v/>
      </c>
      <c r="F16" s="166" t="n">
        <v>792</v>
      </c>
      <c r="G16" s="63">
        <f>IFERROR(D16/F16,0)</f>
        <v/>
      </c>
      <c r="H16" s="61" t="n">
        <v>42</v>
      </c>
      <c r="I16" s="169">
        <f>IFERROR(H16/F16,0)</f>
        <v/>
      </c>
      <c r="J16" s="46">
        <f>SUM(62+H16+'23 Sept - 29 Sept'!H16+'30 Sept - 6 Oct'!H16+'7 Oct - 13 Oct'!H16+'14 Oct - 20 Oct'!H16+'21 Oct - 27 Oct'!H16)</f>
        <v/>
      </c>
      <c r="K16" s="172">
        <f>IFERROR(J16/SUM(F16),0)</f>
        <v/>
      </c>
      <c r="L16" s="188" t="n">
        <v>27646.38</v>
      </c>
      <c r="M16" s="89">
        <f>SUM(L16/D16)</f>
        <v/>
      </c>
      <c r="N16" s="130" t="n">
        <v>7463.3</v>
      </c>
      <c r="O16" s="9" t="n"/>
    </row>
    <row r="17" ht="15.6" customHeight="1">
      <c r="A17" s="198" t="inlineStr">
        <is>
          <t>Paulshof</t>
        </is>
      </c>
      <c r="B17" s="200">
        <f>'21 Oct - 27 Oct'!D17</f>
        <v/>
      </c>
      <c r="C17" s="73" t="n">
        <v>186727.68</v>
      </c>
      <c r="D17" s="145" t="n">
        <v>214868.45</v>
      </c>
      <c r="E17" s="163">
        <f>IFERROR((SUM(D17-C17)/C17),0)</f>
        <v/>
      </c>
      <c r="F17" s="166" t="n">
        <v>1386</v>
      </c>
      <c r="G17" s="63">
        <f>IFERROR(D17/F17,0)</f>
        <v/>
      </c>
      <c r="H17" s="61" t="n">
        <v>81</v>
      </c>
      <c r="I17" s="169">
        <f>IFERROR(H17/F17,0)</f>
        <v/>
      </c>
      <c r="J17" s="46">
        <f>SUM(62+H17+'23 Sept - 29 Sept'!H17+'30 Sept - 6 Oct'!H17+'7 Oct - 13 Oct'!H17+'14 Oct - 20 Oct'!H17+'21 Oct - 27 Oct'!H17)</f>
        <v/>
      </c>
      <c r="K17" s="172">
        <f>IFERROR(J17/SUM(F17),0)</f>
        <v/>
      </c>
      <c r="L17" s="188" t="n">
        <v>37437.57</v>
      </c>
      <c r="M17" s="89">
        <f>SUM(L17/D17)</f>
        <v/>
      </c>
      <c r="N17" s="130" t="n">
        <v>9833</v>
      </c>
      <c r="O17" s="9" t="n"/>
    </row>
    <row r="18" ht="16.2" customHeight="1" thickBot="1">
      <c r="A18" s="199" t="inlineStr">
        <is>
          <t>Queenswood</t>
        </is>
      </c>
      <c r="B18" s="201">
        <f>'21 Oct - 27 Oct'!D18</f>
        <v/>
      </c>
      <c r="C18" s="131" t="n"/>
      <c r="D18" s="146" t="n">
        <v>185238.67</v>
      </c>
      <c r="E18" s="164">
        <f>IFERROR((SUM(D18-C18)/C18),0)</f>
        <v/>
      </c>
      <c r="F18" s="167" t="n">
        <v>1414</v>
      </c>
      <c r="G18" s="132">
        <f>IFERROR(D18/F18,0)</f>
        <v/>
      </c>
      <c r="H18" s="133" t="n">
        <v>101</v>
      </c>
      <c r="I18" s="170">
        <f>IFERROR(H18/F18,0)</f>
        <v/>
      </c>
      <c r="J18" s="115">
        <f>SUM(62+H18+'23 Sept - 29 Sept'!H18+'30 Sept - 6 Oct'!H18+'7 Oct - 13 Oct'!H18+'14 Oct - 20 Oct'!H18+'21 Oct - 27 Oct'!H18)</f>
        <v/>
      </c>
      <c r="K18" s="173">
        <f>IFERROR(J18/SUM(F18),0)</f>
        <v/>
      </c>
      <c r="L18" s="189" t="n">
        <v>24216.74</v>
      </c>
      <c r="M18" s="116">
        <f>SUM(L18/D18)</f>
        <v/>
      </c>
      <c r="N18" s="134" t="n">
        <v>4450.7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>
        <f>SUM(L6:L18)</f>
        <v/>
      </c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'28 Oct - 3 Nov'!D6</f>
        <v/>
      </c>
      <c r="C6" s="123" t="n">
        <v>230376.85</v>
      </c>
      <c r="D6" s="197" t="n">
        <v>228976.77</v>
      </c>
      <c r="E6" s="162">
        <f>IFERROR((SUM(D6-C6)/C6),0)</f>
        <v/>
      </c>
      <c r="F6" s="165" t="n">
        <v>1766</v>
      </c>
      <c r="G6" s="124">
        <f>IFERROR(D6/F6,0)</f>
        <v/>
      </c>
      <c r="H6" s="125" t="n">
        <v>93</v>
      </c>
      <c r="I6" s="168">
        <f>IFERROR(H6/F6,0)</f>
        <v/>
      </c>
      <c r="J6" s="46">
        <f>SUM(62+H6+'23 Sept - 29 Sept'!H6+'30 Sept - 6 Oct'!H6+'7 Oct - 13 Oct'!H6+'14 Oct - 20 Oct'!H6+'21 Oct - 27 Oct'!H6+'28 Oct - 3 Nov'!H6)</f>
        <v/>
      </c>
      <c r="K6" s="171">
        <f>IFERROR(J6/SUM(F6),0)</f>
        <v/>
      </c>
      <c r="L6" s="191" t="n">
        <v>34028.43</v>
      </c>
      <c r="M6" s="128">
        <f>SUM(L6/D6)</f>
        <v/>
      </c>
      <c r="N6" s="129" t="n">
        <v>13039.9</v>
      </c>
      <c r="O6" s="26" t="n"/>
    </row>
    <row r="7" ht="15.6" customHeight="1">
      <c r="A7" s="409" t="inlineStr">
        <is>
          <t>Melrose Arch</t>
        </is>
      </c>
      <c r="B7" s="200">
        <f>'28 Oct - 3 Nov'!D7</f>
        <v/>
      </c>
      <c r="C7" s="73" t="n">
        <v>179981.92</v>
      </c>
      <c r="D7" s="145" t="n">
        <v>203728.44</v>
      </c>
      <c r="E7" s="163">
        <f>IFERROR((SUM(D7-C7)/C7),0)</f>
        <v/>
      </c>
      <c r="F7" s="166" t="n">
        <v>1394</v>
      </c>
      <c r="G7" s="63">
        <f>IFERROR(D7/F7,0)</f>
        <v/>
      </c>
      <c r="H7" s="61" t="n">
        <v>188</v>
      </c>
      <c r="I7" s="169">
        <f>IFERROR(H7/F7,0)</f>
        <v/>
      </c>
      <c r="J7" s="46">
        <f>SUM(62+H7+'23 Sept - 29 Sept'!H7+'30 Sept - 6 Oct'!H7+'7 Oct - 13 Oct'!H7+'14 Oct - 20 Oct'!H7+'21 Oct - 27 Oct'!H7+'28 Oct - 3 Nov'!H7)</f>
        <v/>
      </c>
      <c r="K7" s="172">
        <f>IFERROR(J7/SUM(F7),0)</f>
        <v/>
      </c>
      <c r="L7" s="188" t="n">
        <v>29522.17</v>
      </c>
      <c r="M7" s="89">
        <f>SUM(L7/D7)</f>
        <v/>
      </c>
      <c r="N7" s="130" t="n">
        <v>13790.28</v>
      </c>
      <c r="O7" s="26" t="n"/>
    </row>
    <row r="8" ht="15.6" customHeight="1">
      <c r="A8" s="409" t="inlineStr">
        <is>
          <t>Melville</t>
        </is>
      </c>
      <c r="B8" s="200">
        <f>'28 Oct - 3 Nov'!D8</f>
        <v/>
      </c>
      <c r="C8" s="73" t="n">
        <v>116486.35</v>
      </c>
      <c r="D8" s="145" t="n">
        <v>108699.37</v>
      </c>
      <c r="E8" s="163">
        <f>IFERROR((SUM(D8-C8)/C8),0)</f>
        <v/>
      </c>
      <c r="F8" s="166" t="n">
        <v>788</v>
      </c>
      <c r="G8" s="63">
        <f>IFERROR(D8/F8,0)</f>
        <v/>
      </c>
      <c r="H8" s="61" t="n">
        <v>34</v>
      </c>
      <c r="I8" s="169">
        <f>IFERROR(H8/F8,0)</f>
        <v/>
      </c>
      <c r="J8" s="46">
        <f>SUM(62+H8+'23 Sept - 29 Sept'!H8+'30 Sept - 6 Oct'!H8+'7 Oct - 13 Oct'!H8+'14 Oct - 20 Oct'!H8+'21 Oct - 27 Oct'!H8+'28 Oct - 3 Nov'!H8)</f>
        <v/>
      </c>
      <c r="K8" s="172">
        <f>IFERROR(J8/SUM(F8),0)</f>
        <v/>
      </c>
      <c r="L8" s="188" t="n">
        <v>26887.65</v>
      </c>
      <c r="M8" s="89">
        <f>SUM(L8/D8)</f>
        <v/>
      </c>
      <c r="N8" s="130" t="n">
        <v>3588</v>
      </c>
      <c r="O8" s="26" t="n"/>
    </row>
    <row r="9" ht="15.6" customHeight="1">
      <c r="A9" s="409" t="inlineStr">
        <is>
          <t>Rosebank</t>
        </is>
      </c>
      <c r="B9" s="200">
        <f>'28 Oct - 3 Nov'!D9</f>
        <v/>
      </c>
      <c r="C9" s="73" t="n">
        <v>322539.8</v>
      </c>
      <c r="D9" s="145" t="n">
        <v>318828.8</v>
      </c>
      <c r="E9" s="163">
        <f>IFERROR((SUM(D9-C9)/C9),0)</f>
        <v/>
      </c>
      <c r="F9" s="166" t="n">
        <v>2154</v>
      </c>
      <c r="G9" s="63">
        <f>IFERROR(D9/F9,0)</f>
        <v/>
      </c>
      <c r="H9" s="61" t="n">
        <v>126</v>
      </c>
      <c r="I9" s="169">
        <f>IFERROR(H9/F9,0)</f>
        <v/>
      </c>
      <c r="J9" s="46">
        <f>SUM(62+H9+'23 Sept - 29 Sept'!H9+'30 Sept - 6 Oct'!H9+'7 Oct - 13 Oct'!H9+'14 Oct - 20 Oct'!H9+'21 Oct - 27 Oct'!H9+'28 Oct - 3 Nov'!H9)</f>
        <v/>
      </c>
      <c r="K9" s="172">
        <f>IFERROR(J9/SUM(F9),0)</f>
        <v/>
      </c>
      <c r="L9" s="188" t="n">
        <v>23935.39</v>
      </c>
      <c r="M9" s="89">
        <f>SUM(L9/D9)</f>
        <v/>
      </c>
      <c r="N9" s="130" t="n">
        <v>10043.5</v>
      </c>
      <c r="O9" s="26" t="n"/>
    </row>
    <row r="10" ht="15.6" customHeight="1">
      <c r="A10" s="409" t="inlineStr">
        <is>
          <t xml:space="preserve">Waterkloof </t>
        </is>
      </c>
      <c r="B10" s="200">
        <f>'28 Oct - 3 Nov'!D10</f>
        <v/>
      </c>
      <c r="C10" s="73" t="n">
        <v>142319</v>
      </c>
      <c r="D10" s="145" t="n">
        <v>132983.03</v>
      </c>
      <c r="E10" s="163">
        <f>IFERROR((SUM(D10-C10)/C10),0)</f>
        <v/>
      </c>
      <c r="F10" s="166" t="n">
        <v>970</v>
      </c>
      <c r="G10" s="63">
        <f>IFERROR(D10/F10,0)</f>
        <v/>
      </c>
      <c r="H10" s="61" t="n">
        <v>106</v>
      </c>
      <c r="I10" s="169">
        <f>IFERROR(H10/F10,0)</f>
        <v/>
      </c>
      <c r="J10" s="46">
        <f>SUM(62+H10+'23 Sept - 29 Sept'!H10+'30 Sept - 6 Oct'!H10+'7 Oct - 13 Oct'!H10+'14 Oct - 20 Oct'!H10+'21 Oct - 27 Oct'!H10+'28 Oct - 3 Nov'!H10)</f>
        <v/>
      </c>
      <c r="K10" s="172">
        <f>IFERROR(J10/SUM(F10),0)</f>
        <v/>
      </c>
      <c r="L10" s="188" t="n">
        <v>38692.83</v>
      </c>
      <c r="M10" s="89">
        <f>SUM(L10/D10)</f>
        <v/>
      </c>
      <c r="N10" s="130" t="n">
        <v>8644.65</v>
      </c>
      <c r="O10" s="26" t="n"/>
    </row>
    <row r="11" ht="15.6" customHeight="1">
      <c r="A11" s="409" t="inlineStr">
        <is>
          <t>Eagles Landing</t>
        </is>
      </c>
      <c r="B11" s="200">
        <f>'28 Oct - 3 Nov'!D11</f>
        <v/>
      </c>
      <c r="C11" s="73" t="n">
        <v>325055.41</v>
      </c>
      <c r="D11" s="145" t="n">
        <v>308365.96</v>
      </c>
      <c r="E11" s="163">
        <f>IFERROR((SUM(D11-C11)/C11),0)</f>
        <v/>
      </c>
      <c r="F11" s="166" t="n">
        <v>1967</v>
      </c>
      <c r="G11" s="63">
        <f>IFERROR(D11/F11,0)</f>
        <v/>
      </c>
      <c r="H11" s="61" t="n">
        <v>162</v>
      </c>
      <c r="I11" s="169">
        <f>IFERROR(H11/F11,0)</f>
        <v/>
      </c>
      <c r="J11" s="46">
        <f>SUM(62+H11+'23 Sept - 29 Sept'!H11+'30 Sept - 6 Oct'!H11+'7 Oct - 13 Oct'!H11+'14 Oct - 20 Oct'!H11+'21 Oct - 27 Oct'!H11+'28 Oct - 3 Nov'!H11)</f>
        <v/>
      </c>
      <c r="K11" s="172">
        <f>IFERROR(J11/SUM(F11),0)</f>
        <v/>
      </c>
      <c r="L11" s="188" t="n">
        <v>47011.43</v>
      </c>
      <c r="M11" s="89">
        <f>SUM(L11/D11)</f>
        <v/>
      </c>
      <c r="N11" s="130" t="n">
        <v>18848.8</v>
      </c>
      <c r="O11" s="26" t="n"/>
    </row>
    <row r="12" ht="15.6" customHeight="1">
      <c r="A12" s="198" t="inlineStr">
        <is>
          <t>Stellenbosch</t>
        </is>
      </c>
      <c r="B12" s="200">
        <f>'28 Oct - 3 Nov'!D12</f>
        <v/>
      </c>
      <c r="C12" s="73" t="n">
        <v>128157.48</v>
      </c>
      <c r="D12" s="145" t="n">
        <v>146753.75</v>
      </c>
      <c r="E12" s="163">
        <f>IFERROR((SUM(D12-C12)/C12),0)</f>
        <v/>
      </c>
      <c r="F12" s="166" t="n">
        <v>1224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Nov'!H12)</f>
        <v/>
      </c>
      <c r="K12" s="172">
        <f>IFERROR(J12/SUM(F12),0)</f>
        <v/>
      </c>
      <c r="L12" s="188" t="n">
        <v>23834</v>
      </c>
      <c r="M12" s="89">
        <f>SUM(L12/D12)</f>
        <v/>
      </c>
      <c r="N12" s="130" t="n">
        <v>9596.5</v>
      </c>
      <c r="O12" s="26" t="n"/>
    </row>
    <row r="13" ht="15.6" customHeight="1">
      <c r="A13" s="198" t="inlineStr">
        <is>
          <t>Lynnwood</t>
        </is>
      </c>
      <c r="B13" s="200">
        <f>'28 Oct - 3 Nov'!D13</f>
        <v/>
      </c>
      <c r="C13" s="73" t="n">
        <v>209424.97</v>
      </c>
      <c r="D13" s="145" t="n">
        <v>215493.07</v>
      </c>
      <c r="E13" s="163">
        <f>IFERROR((SUM(D13-C13)/C13),0)</f>
        <v/>
      </c>
      <c r="F13" s="166" t="n">
        <v>1628</v>
      </c>
      <c r="G13" s="63">
        <f>IFERROR(D13/F13,0)</f>
        <v/>
      </c>
      <c r="H13" s="61" t="n">
        <v>104</v>
      </c>
      <c r="I13" s="169">
        <f>IFERROR(H13/F13,0)</f>
        <v/>
      </c>
      <c r="J13" s="46">
        <f>SUM(62+H13+'23 Sept - 29 Sept'!H13+'30 Sept - 6 Oct'!H13+'7 Oct - 13 Oct'!H13+'14 Oct - 20 Oct'!H13+'21 Oct - 27 Oct'!H13+'28 Oct - 3 Nov'!H13)</f>
        <v/>
      </c>
      <c r="K13" s="172">
        <f>IFERROR(J13/SUM(F13),0)</f>
        <v/>
      </c>
      <c r="L13" s="188" t="n">
        <v>32551.48</v>
      </c>
      <c r="M13" s="89">
        <f>SUM(L13/D13)</f>
        <v/>
      </c>
      <c r="N13" s="130" t="n">
        <v>9530.9</v>
      </c>
      <c r="O13" s="26" t="n"/>
    </row>
    <row r="14" hidden="1" ht="15.6" customHeight="1">
      <c r="A14" s="198" t="inlineStr">
        <is>
          <t>Wellington</t>
        </is>
      </c>
      <c r="B14" s="200">
        <f>'28 Oct - 3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'28 Oct - 3 Nov'!D15</f>
        <v/>
      </c>
      <c r="C15" s="73" t="n">
        <v>164453.7</v>
      </c>
      <c r="D15" s="145" t="n">
        <v>165767.19</v>
      </c>
      <c r="E15" s="163">
        <f>IFERROR((SUM(D15-C15)/C15),0)</f>
        <v/>
      </c>
      <c r="F15" s="166" t="n">
        <v>1353</v>
      </c>
      <c r="G15" s="63">
        <f>IFERROR(D15/F15,0)</f>
        <v/>
      </c>
      <c r="H15" s="61" t="n">
        <v>66</v>
      </c>
      <c r="I15" s="169">
        <f>IFERROR(H15/F15,0)</f>
        <v/>
      </c>
      <c r="J15" s="46">
        <f>SUM(62+H15+'23 Sept - 29 Sept'!H15+'30 Sept - 6 Oct'!H15+'7 Oct - 13 Oct'!H15+'14 Oct - 20 Oct'!H15+'21 Oct - 27 Oct'!H15+'28 Oct - 3 Nov'!H15)</f>
        <v/>
      </c>
      <c r="K15" s="172">
        <f>IFERROR(J15/SUM(F15),0)</f>
        <v/>
      </c>
      <c r="L15" s="188" t="n">
        <v>8234.780000000001</v>
      </c>
      <c r="M15" s="89">
        <f>SUM(L15/D15)</f>
        <v/>
      </c>
      <c r="N15" s="130" t="n">
        <v>5729</v>
      </c>
      <c r="O15" s="9" t="n"/>
    </row>
    <row r="16" ht="15.6" customHeight="1">
      <c r="A16" s="198" t="inlineStr">
        <is>
          <t>Kyalami Corner</t>
        </is>
      </c>
      <c r="B16" s="200">
        <f>'28 Oct - 3 Nov'!D16</f>
        <v/>
      </c>
      <c r="C16" s="73" t="n">
        <v>111401.27</v>
      </c>
      <c r="D16" s="145" t="n">
        <v>122700.03</v>
      </c>
      <c r="E16" s="163">
        <f>IFERROR((SUM(D16-C16)/C16),0)</f>
        <v/>
      </c>
      <c r="F16" s="166" t="n">
        <v>784</v>
      </c>
      <c r="G16" s="63">
        <f>IFERROR(D16/F16,0)</f>
        <v/>
      </c>
      <c r="H16" s="61" t="n">
        <v>33</v>
      </c>
      <c r="I16" s="169">
        <f>IFERROR(H16/F16,0)</f>
        <v/>
      </c>
      <c r="J16" s="46">
        <f>SUM(62+H16+'23 Sept - 29 Sept'!H16+'30 Sept - 6 Oct'!H16+'7 Oct - 13 Oct'!H16+'14 Oct - 20 Oct'!H16+'21 Oct - 27 Oct'!H16+'28 Oct - 3 Nov'!H16)</f>
        <v/>
      </c>
      <c r="K16" s="172">
        <f>IFERROR(J16/SUM(F16),0)</f>
        <v/>
      </c>
      <c r="L16" s="188" t="n">
        <v>22694.3</v>
      </c>
      <c r="M16" s="89">
        <f>SUM(L16/D16)</f>
        <v/>
      </c>
      <c r="N16" s="130" t="n">
        <v>7192.25</v>
      </c>
      <c r="O16" s="9" t="n"/>
    </row>
    <row r="17" ht="15.6" customHeight="1">
      <c r="A17" s="198" t="inlineStr">
        <is>
          <t>Paulshof</t>
        </is>
      </c>
      <c r="B17" s="200">
        <f>'28 Oct - 3 Nov'!D17</f>
        <v/>
      </c>
      <c r="C17" s="73" t="n">
        <v>242297.86</v>
      </c>
      <c r="D17" s="145" t="n">
        <v>201597.1</v>
      </c>
      <c r="E17" s="163">
        <f>IFERROR((SUM(D17-C17)/C17),0)</f>
        <v/>
      </c>
      <c r="F17" s="166" t="n">
        <v>1339</v>
      </c>
      <c r="G17" s="63">
        <f>IFERROR(D17/F17,0)</f>
        <v/>
      </c>
      <c r="H17" s="61" t="n">
        <v>106</v>
      </c>
      <c r="I17" s="169">
        <f>IFERROR(H17/F17,0)</f>
        <v/>
      </c>
      <c r="J17" s="46">
        <f>SUM(62+H17+'23 Sept - 29 Sept'!H17+'30 Sept - 6 Oct'!H17+'7 Oct - 13 Oct'!H17+'14 Oct - 20 Oct'!H17+'21 Oct - 27 Oct'!H17+'28 Oct - 3 Nov'!H17)</f>
        <v/>
      </c>
      <c r="K17" s="172">
        <f>IFERROR(J17/SUM(F17),0)</f>
        <v/>
      </c>
      <c r="L17" s="188" t="n">
        <v>30263.52</v>
      </c>
      <c r="M17" s="89">
        <f>SUM(L17/D17)</f>
        <v/>
      </c>
      <c r="N17" s="130" t="n">
        <v>11577.8</v>
      </c>
      <c r="O17" s="9" t="n"/>
    </row>
    <row r="18" ht="16.2" customHeight="1" thickBot="1">
      <c r="A18" s="199" t="inlineStr">
        <is>
          <t>Queenswood</t>
        </is>
      </c>
      <c r="B18" s="201">
        <f>'28 Oct - 3 Nov'!D18</f>
        <v/>
      </c>
      <c r="C18" s="131" t="n"/>
      <c r="D18" s="146" t="n">
        <v>164475.3</v>
      </c>
      <c r="E18" s="164">
        <f>IFERROR((SUM(D18-C18)/C18),0)</f>
        <v/>
      </c>
      <c r="F18" s="167" t="n">
        <v>1338</v>
      </c>
      <c r="G18" s="132">
        <f>IFERROR(D18/F18,0)</f>
        <v/>
      </c>
      <c r="H18" s="133" t="n">
        <v>113</v>
      </c>
      <c r="I18" s="170">
        <f>IFERROR(H18/F18,0)</f>
        <v/>
      </c>
      <c r="J18" s="115">
        <f>SUM(62+H18+'23 Sept - 29 Sept'!H18+'30 Sept - 6 Oct'!H18+'7 Oct - 13 Oct'!H18+'14 Oct - 20 Oct'!H18+'21 Oct - 27 Oct'!H18+'28 Oct - 3 Nov'!H18)</f>
        <v/>
      </c>
      <c r="K18" s="173">
        <f>IFERROR(J18/SUM(F18),0)</f>
        <v/>
      </c>
      <c r="L18" s="189" t="n">
        <v>20566</v>
      </c>
      <c r="M18" s="116">
        <f>SUM(L18/D18)</f>
        <v/>
      </c>
      <c r="N18" s="134" t="n">
        <v>2458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Nov - 10 Nov'!D6</f>
        <v/>
      </c>
      <c r="C6" s="123" t="n">
        <v>230527.2</v>
      </c>
      <c r="D6" s="197" t="n">
        <v>259568.58</v>
      </c>
      <c r="E6" s="162">
        <f>IFERROR((SUM(D6-C6)/C6),0)</f>
        <v/>
      </c>
      <c r="F6" s="165" t="n">
        <v>1983</v>
      </c>
      <c r="G6" s="124">
        <f>IFERROR(D6/F6,0)</f>
        <v/>
      </c>
      <c r="H6" s="125" t="n">
        <v>70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Nov'!H6)</f>
        <v/>
      </c>
      <c r="K6" s="171">
        <f>IFERROR(J6/SUM(F6),0)</f>
        <v/>
      </c>
      <c r="L6" s="191" t="n">
        <v>34926.22</v>
      </c>
      <c r="M6" s="128">
        <f>SUM(L6/D6)</f>
        <v/>
      </c>
      <c r="N6" s="129" t="n">
        <v>11312.15</v>
      </c>
      <c r="O6" s="26" t="n"/>
    </row>
    <row r="7" ht="15.6" customHeight="1">
      <c r="A7" s="409" t="inlineStr">
        <is>
          <t>Melrose Arch</t>
        </is>
      </c>
      <c r="B7" s="200">
        <f>'4 Nov - 10 Nov'!D7</f>
        <v/>
      </c>
      <c r="C7" s="73" t="n">
        <v>313293.68</v>
      </c>
      <c r="D7" s="145" t="n">
        <v>209028.31</v>
      </c>
      <c r="E7" s="163">
        <f>IFERROR((SUM(D7-C7)/C7),0)</f>
        <v/>
      </c>
      <c r="F7" s="166" t="n">
        <v>1506</v>
      </c>
      <c r="G7" s="63">
        <f>IFERROR(D7/F7,0)</f>
        <v/>
      </c>
      <c r="H7" s="61" t="n">
        <v>111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Nov'!H7)</f>
        <v/>
      </c>
      <c r="K7" s="172">
        <f>IFERROR(J7/SUM(F7),0)</f>
        <v/>
      </c>
      <c r="L7" s="188" t="n">
        <v>29086.35</v>
      </c>
      <c r="M7" s="89">
        <f>SUM(L7/D7)</f>
        <v/>
      </c>
      <c r="N7" s="130" t="n">
        <v>16360.23</v>
      </c>
      <c r="O7" s="26" t="n"/>
    </row>
    <row r="8" ht="15.6" customHeight="1">
      <c r="A8" s="409" t="inlineStr">
        <is>
          <t>Melville</t>
        </is>
      </c>
      <c r="B8" s="200">
        <f>'4 Nov - 10 Nov'!D8</f>
        <v/>
      </c>
      <c r="C8" s="73" t="n">
        <v>121201.12</v>
      </c>
      <c r="D8" s="145" t="n">
        <v>101423.55</v>
      </c>
      <c r="E8" s="163">
        <f>IFERROR((SUM(D8-C8)/C8),0)</f>
        <v/>
      </c>
      <c r="F8" s="166" t="n">
        <v>1050</v>
      </c>
      <c r="G8" s="63">
        <f>IFERROR(D8/F8,0)</f>
        <v/>
      </c>
      <c r="H8" s="61" t="n">
        <v>68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Nov'!H8)</f>
        <v/>
      </c>
      <c r="K8" s="172">
        <f>IFERROR(J8/SUM(F8),0)</f>
        <v/>
      </c>
      <c r="L8" s="188" t="n">
        <v>33658.43</v>
      </c>
      <c r="M8" s="89">
        <f>SUM(L8/D8)</f>
        <v/>
      </c>
      <c r="N8" s="130" t="n">
        <v>4350.05</v>
      </c>
      <c r="O8" s="26" t="n"/>
    </row>
    <row r="9" ht="15.6" customHeight="1">
      <c r="A9" s="409" t="inlineStr">
        <is>
          <t>Rosebank</t>
        </is>
      </c>
      <c r="B9" s="200">
        <f>'4 Nov - 10 Nov'!D9</f>
        <v/>
      </c>
      <c r="C9" s="73" t="n">
        <v>354340.71</v>
      </c>
      <c r="D9" s="145" t="n">
        <v>300109.68</v>
      </c>
      <c r="E9" s="163">
        <f>IFERROR((SUM(D9-C9)/C9),0)</f>
        <v/>
      </c>
      <c r="F9" s="166" t="n">
        <v>2192</v>
      </c>
      <c r="G9" s="63">
        <f>IFERROR(D9/F9,0)</f>
        <v/>
      </c>
      <c r="H9" s="61" t="n">
        <v>95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Nov'!H9)</f>
        <v/>
      </c>
      <c r="K9" s="172">
        <f>IFERROR(J9/SUM(F9),0)</f>
        <v/>
      </c>
      <c r="L9" s="188" t="n">
        <v>22430.52</v>
      </c>
      <c r="M9" s="89">
        <f>SUM(L9/D9)</f>
        <v/>
      </c>
      <c r="N9" s="130" t="n">
        <v>11524.1</v>
      </c>
      <c r="O9" s="26" t="n"/>
    </row>
    <row r="10" ht="15.6" customHeight="1">
      <c r="A10" s="409" t="inlineStr">
        <is>
          <t xml:space="preserve">Waterkloof </t>
        </is>
      </c>
      <c r="B10" s="200">
        <f>'4 Nov - 10 Nov'!D10</f>
        <v/>
      </c>
      <c r="C10" s="73" t="n">
        <v>133992.31</v>
      </c>
      <c r="D10" s="145" t="n">
        <v>137768.23</v>
      </c>
      <c r="E10" s="163">
        <f>IFERROR((SUM(D10-C10)/C10),0)</f>
        <v/>
      </c>
      <c r="F10" s="166" t="n">
        <v>991</v>
      </c>
      <c r="G10" s="63">
        <f>IFERROR(D10/F10,0)</f>
        <v/>
      </c>
      <c r="H10" s="61" t="n">
        <v>86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Nov'!H10)</f>
        <v/>
      </c>
      <c r="K10" s="172">
        <f>IFERROR(J10/SUM(F10),0)</f>
        <v/>
      </c>
      <c r="L10" s="188" t="n">
        <v>33932.61</v>
      </c>
      <c r="M10" s="89">
        <f>SUM(L10/D10)</f>
        <v/>
      </c>
      <c r="N10" s="130" t="n">
        <v>10627.4</v>
      </c>
      <c r="O10" s="26" t="n"/>
    </row>
    <row r="11" ht="15.6" customHeight="1">
      <c r="A11" s="409" t="inlineStr">
        <is>
          <t>Eagles Landing</t>
        </is>
      </c>
      <c r="B11" s="200">
        <f>'4 Nov - 10 Nov'!D11</f>
        <v/>
      </c>
      <c r="C11" s="73" t="n">
        <v>309782.66</v>
      </c>
      <c r="D11" s="145" t="n">
        <v>311032.46</v>
      </c>
      <c r="E11" s="163">
        <f>IFERROR((SUM(D11-C11)/C11),0)</f>
        <v/>
      </c>
      <c r="F11" s="166" t="n">
        <v>2100</v>
      </c>
      <c r="G11" s="63">
        <f>IFERROR(D11/F11,0)</f>
        <v/>
      </c>
      <c r="H11" s="61" t="n">
        <v>178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Nov'!H11)</f>
        <v/>
      </c>
      <c r="K11" s="172">
        <f>IFERROR(J11/SUM(F11),0)</f>
        <v/>
      </c>
      <c r="L11" s="188" t="n">
        <v>50083.83</v>
      </c>
      <c r="M11" s="89">
        <f>SUM(L11/D11)</f>
        <v/>
      </c>
      <c r="N11" s="130" t="n">
        <v>18996.05</v>
      </c>
      <c r="O11" s="26" t="n"/>
    </row>
    <row r="12" ht="15.6" customHeight="1">
      <c r="A12" s="198" t="inlineStr">
        <is>
          <t>Stellenbosch</t>
        </is>
      </c>
      <c r="B12" s="200">
        <f>'4 Nov - 10 Nov'!D12</f>
        <v/>
      </c>
      <c r="C12" s="73" t="n">
        <v>137174.29</v>
      </c>
      <c r="D12" s="145" t="n">
        <v>143951.47</v>
      </c>
      <c r="E12" s="163">
        <f>IFERROR((SUM(D12-C12)/C12),0)</f>
        <v/>
      </c>
      <c r="F12" s="166" t="n">
        <v>1138</v>
      </c>
      <c r="G12" s="63">
        <f>IFERROR(D12/F12,0)</f>
        <v/>
      </c>
      <c r="H12" s="61" t="n">
        <v>89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Nov'!H12)</f>
        <v/>
      </c>
      <c r="K12" s="172">
        <f>IFERROR(J12/SUM(F12),0)</f>
        <v/>
      </c>
      <c r="L12" s="188" t="n">
        <v>17497.57</v>
      </c>
      <c r="M12" s="89">
        <f>SUM(L12/D12)</f>
        <v/>
      </c>
      <c r="N12" s="130" t="n">
        <v>12216.25</v>
      </c>
      <c r="O12" s="26" t="n"/>
    </row>
    <row r="13" ht="15.6" customHeight="1">
      <c r="A13" s="198" t="inlineStr">
        <is>
          <t>Lynnwood</t>
        </is>
      </c>
      <c r="B13" s="200">
        <f>'4 Nov - 10 Nov'!D13</f>
        <v/>
      </c>
      <c r="C13" s="73" t="n">
        <v>199894.33</v>
      </c>
      <c r="D13" s="145" t="n">
        <v>202568.82</v>
      </c>
      <c r="E13" s="163">
        <f>IFERROR((SUM(D13-C13)/C13),0)</f>
        <v/>
      </c>
      <c r="F13" s="166" t="n">
        <v>1479</v>
      </c>
      <c r="G13" s="63">
        <f>IFERROR(D13/F13,0)</f>
        <v/>
      </c>
      <c r="H13" s="61" t="n">
        <v>114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Nov'!H13)</f>
        <v/>
      </c>
      <c r="K13" s="172">
        <f>IFERROR(J13/SUM(F13),0)</f>
        <v/>
      </c>
      <c r="L13" s="188" t="n">
        <v>25685.39</v>
      </c>
      <c r="M13" s="89">
        <f>SUM(L13/D13)</f>
        <v/>
      </c>
      <c r="N13" s="130" t="n">
        <v>11832.1</v>
      </c>
      <c r="O13" s="26" t="n"/>
    </row>
    <row r="14" hidden="1" ht="15.6" customHeight="1">
      <c r="A14" s="198" t="inlineStr">
        <is>
          <t>Wellington</t>
        </is>
      </c>
      <c r="B14" s="200">
        <f>'4 Nov - 10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Nov - 10 Nov'!D15</f>
        <v/>
      </c>
      <c r="C15" s="73" t="n">
        <v>154493.53</v>
      </c>
      <c r="D15" s="145" t="n">
        <v>187730.76</v>
      </c>
      <c r="E15" s="163">
        <f>IFERROR((SUM(D15-C15)/C15),0)</f>
        <v/>
      </c>
      <c r="F15" s="166" t="n">
        <v>1457</v>
      </c>
      <c r="G15" s="63">
        <f>IFERROR(D15/F15,0)</f>
        <v/>
      </c>
      <c r="H15" s="61" t="n">
        <v>69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Nov'!H15)</f>
        <v/>
      </c>
      <c r="K15" s="172">
        <f>IFERROR(J15/SUM(F15),0)</f>
        <v/>
      </c>
      <c r="L15" s="188" t="n">
        <v>11046.26</v>
      </c>
      <c r="M15" s="89">
        <f>SUM(L15/D15)</f>
        <v/>
      </c>
      <c r="N15" s="130" t="n">
        <v>5171.77</v>
      </c>
      <c r="O15" s="9" t="n"/>
    </row>
    <row r="16" ht="15.6" customHeight="1">
      <c r="A16" s="198" t="inlineStr">
        <is>
          <t>Kyalami Corner</t>
        </is>
      </c>
      <c r="B16" s="200">
        <f>'4 Nov - 10 Nov'!D16</f>
        <v/>
      </c>
      <c r="C16" s="73" t="n">
        <v>128338.69</v>
      </c>
      <c r="D16" s="145" t="n">
        <v>117265.6</v>
      </c>
      <c r="E16" s="163">
        <f>IFERROR((SUM(D16-C16)/C16),0)</f>
        <v/>
      </c>
      <c r="F16" s="166" t="n">
        <v>788</v>
      </c>
      <c r="G16" s="63">
        <f>IFERROR(D16/F16,0)</f>
        <v/>
      </c>
      <c r="H16" s="61" t="n">
        <v>24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Nov'!H16)</f>
        <v/>
      </c>
      <c r="K16" s="172">
        <f>IFERROR(J16/SUM(F16),0)</f>
        <v/>
      </c>
      <c r="L16" s="188" t="n">
        <v>19463.65</v>
      </c>
      <c r="M16" s="89">
        <f>SUM(L16/D16)</f>
        <v/>
      </c>
      <c r="N16" s="130" t="n">
        <v>8953</v>
      </c>
      <c r="O16" s="9" t="n"/>
    </row>
    <row r="17" ht="15.6" customHeight="1">
      <c r="A17" s="198" t="inlineStr">
        <is>
          <t>Paulshof</t>
        </is>
      </c>
      <c r="B17" s="200">
        <f>'4 Nov - 10 Nov'!D17</f>
        <v/>
      </c>
      <c r="C17" s="73" t="n">
        <v>230025.58</v>
      </c>
      <c r="D17" s="145" t="n">
        <v>210361.95</v>
      </c>
      <c r="E17" s="163">
        <f>IFERROR((SUM(D17-C17)/C17),0)</f>
        <v/>
      </c>
      <c r="F17" s="166" t="n">
        <v>1388</v>
      </c>
      <c r="G17" s="63">
        <f>IFERROR(D17/F17,0)</f>
        <v/>
      </c>
      <c r="H17" s="61" t="n">
        <v>105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Nov'!H17)</f>
        <v/>
      </c>
      <c r="K17" s="172">
        <f>IFERROR(J17/SUM(F17),0)</f>
        <v/>
      </c>
      <c r="L17" s="188" t="n">
        <v>28668.22</v>
      </c>
      <c r="M17" s="89">
        <f>SUM(L17/D17)</f>
        <v/>
      </c>
      <c r="N17" s="130" t="n">
        <v>11896.1</v>
      </c>
      <c r="O17" s="9" t="n"/>
    </row>
    <row r="18" ht="16.2" customHeight="1" thickBot="1">
      <c r="A18" s="199" t="inlineStr">
        <is>
          <t>Queenswood</t>
        </is>
      </c>
      <c r="B18" s="201">
        <f>'4 Nov - 10 Nov'!D18</f>
        <v/>
      </c>
      <c r="C18" s="131" t="n"/>
      <c r="D18" s="146" t="n">
        <v>165084.29</v>
      </c>
      <c r="E18" s="164">
        <f>IFERROR((SUM(D18-C18)/C18),0)</f>
        <v/>
      </c>
      <c r="F18" s="167" t="n">
        <v>1345</v>
      </c>
      <c r="G18" s="132">
        <f>IFERROR(D18/F18,0)</f>
        <v/>
      </c>
      <c r="H18" s="133" t="n">
        <v>89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Nov'!H18)</f>
        <v/>
      </c>
      <c r="K18" s="173">
        <f>IFERROR(J18/SUM(F18),0)</f>
        <v/>
      </c>
      <c r="L18" s="189" t="n">
        <v>26648.7</v>
      </c>
      <c r="M18" s="116">
        <f>SUM(L18/D18)</f>
        <v/>
      </c>
      <c r="N18" s="134" t="n">
        <v>2848.74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Nov - 17 Nov'!D6</f>
        <v/>
      </c>
      <c r="C6" s="123" t="n">
        <v>256902.53</v>
      </c>
      <c r="D6" s="197" t="n">
        <v>249420.07</v>
      </c>
      <c r="E6" s="162">
        <f>IFERROR((SUM(D6-C6)/C6),0)</f>
        <v/>
      </c>
      <c r="F6" s="165" t="n">
        <v>2296</v>
      </c>
      <c r="G6" s="124">
        <f>IFERROR(D6/F6,0)</f>
        <v/>
      </c>
      <c r="H6" s="125" t="n">
        <v>77</v>
      </c>
      <c r="I6" s="168">
        <f>IFERROR(H6/F6,0)</f>
        <v/>
      </c>
      <c r="J6" s="46">
        <f>SUM(62+H6+'23 Sept - 29 Sept'!H6+'30 Sept - 6 Oct'!H6+'7 Oct - 13 Oct'!H6+'14 Oct - 20 Oct'!H6+'21 Oct - 27 Oct'!H6+'28 Oct - 3 Nov'!H6+'4 Nov - 10 Nov'!H6+'11 Nov - 17 Nov'!H6)</f>
        <v/>
      </c>
      <c r="K6" s="171">
        <f>IFERROR(J6/SUM(F6),0)</f>
        <v/>
      </c>
      <c r="L6" s="191" t="n">
        <v>31969.48</v>
      </c>
      <c r="M6" s="128">
        <f>SUM(L6/D6)</f>
        <v/>
      </c>
      <c r="N6" s="129" t="n">
        <v>12721.45</v>
      </c>
      <c r="O6" s="26" t="n"/>
    </row>
    <row r="7" ht="15.6" customHeight="1">
      <c r="A7" s="409" t="inlineStr">
        <is>
          <t>Melrose Arch</t>
        </is>
      </c>
      <c r="B7" s="200">
        <f>'11 Nov - 17 Nov'!D7</f>
        <v/>
      </c>
      <c r="C7" s="73" t="n">
        <v>245413.55</v>
      </c>
      <c r="D7" s="145" t="n">
        <v>277083.59</v>
      </c>
      <c r="E7" s="163">
        <f>IFERROR((SUM(D7-C7)/C7),0)</f>
        <v/>
      </c>
      <c r="F7" s="166" t="n">
        <v>1971</v>
      </c>
      <c r="G7" s="63">
        <f>IFERROR(D7/F7,0)</f>
        <v/>
      </c>
      <c r="H7" s="61" t="n">
        <v>150</v>
      </c>
      <c r="I7" s="169">
        <f>IFERROR(H7/F7,0)</f>
        <v/>
      </c>
      <c r="J7" s="46">
        <f>SUM(62+H7+'23 Sept - 29 Sept'!H7+'30 Sept - 6 Oct'!H7+'7 Oct - 13 Oct'!H7+'14 Oct - 20 Oct'!H7+'21 Oct - 27 Oct'!H7+'28 Oct - 3 Nov'!H7+'4 Nov - 10 Nov'!H7+'11 Nov - 17 Nov'!H7)</f>
        <v/>
      </c>
      <c r="K7" s="172">
        <f>IFERROR(J7/SUM(F7),0)</f>
        <v/>
      </c>
      <c r="L7" s="188" t="n">
        <v>31947.96</v>
      </c>
      <c r="M7" s="89">
        <f>SUM(L7/D7)</f>
        <v/>
      </c>
      <c r="N7" s="130" t="n">
        <v>23090.91</v>
      </c>
      <c r="O7" s="26" t="n"/>
    </row>
    <row r="8" ht="15.6" customHeight="1">
      <c r="A8" s="409" t="inlineStr">
        <is>
          <t>Melville</t>
        </is>
      </c>
      <c r="B8" s="200">
        <f>'11 Nov - 17 Nov'!D8</f>
        <v/>
      </c>
      <c r="C8" s="73" t="n">
        <v>136957</v>
      </c>
      <c r="D8" s="145" t="n">
        <v>126423.17</v>
      </c>
      <c r="E8" s="163">
        <f>IFERROR((SUM(D8-C8)/C8),0)</f>
        <v/>
      </c>
      <c r="F8" s="166" t="n">
        <v>1167</v>
      </c>
      <c r="G8" s="63">
        <f>IFERROR(D8/F8,0)</f>
        <v/>
      </c>
      <c r="H8" s="61" t="n">
        <v>70</v>
      </c>
      <c r="I8" s="169">
        <f>IFERROR(H8/F8,0)</f>
        <v/>
      </c>
      <c r="J8" s="46">
        <f>SUM(62+H8+'23 Sept - 29 Sept'!H8+'30 Sept - 6 Oct'!H8+'7 Oct - 13 Oct'!H8+'14 Oct - 20 Oct'!H8+'21 Oct - 27 Oct'!H8+'28 Oct - 3 Nov'!H8+'4 Nov - 10 Nov'!H8+'11 Nov - 17 Nov'!H8)</f>
        <v/>
      </c>
      <c r="K8" s="172">
        <f>IFERROR(J8/SUM(F8),0)</f>
        <v/>
      </c>
      <c r="L8" s="188" t="n">
        <v>34306.09</v>
      </c>
      <c r="M8" s="89">
        <f>SUM(L8/D8)</f>
        <v/>
      </c>
      <c r="N8" s="130" t="n">
        <v>5406.89</v>
      </c>
      <c r="O8" s="26" t="n"/>
    </row>
    <row r="9" ht="15.6" customHeight="1">
      <c r="A9" s="409" t="inlineStr">
        <is>
          <t>Rosebank</t>
        </is>
      </c>
      <c r="B9" s="200">
        <f>'11 Nov - 17 Nov'!D9</f>
        <v/>
      </c>
      <c r="C9" s="73" t="n">
        <v>358375.04</v>
      </c>
      <c r="D9" s="145" t="n">
        <v>334792.28</v>
      </c>
      <c r="E9" s="163">
        <f>IFERROR((SUM(D9-C9)/C9),0)</f>
        <v/>
      </c>
      <c r="F9" s="166" t="n">
        <v>2412</v>
      </c>
      <c r="G9" s="63">
        <f>IFERROR(D9/F9,0)</f>
        <v/>
      </c>
      <c r="H9" s="61" t="n">
        <v>91</v>
      </c>
      <c r="I9" s="169">
        <f>IFERROR(H9/F9,0)</f>
        <v/>
      </c>
      <c r="J9" s="46">
        <f>SUM(62+H9+'23 Sept - 29 Sept'!H9+'30 Sept - 6 Oct'!H9+'7 Oct - 13 Oct'!H9+'14 Oct - 20 Oct'!H9+'21 Oct - 27 Oct'!H9+'28 Oct - 3 Nov'!H9+'4 Nov - 10 Nov'!H9+'11 Nov - 17 Nov'!H9)</f>
        <v/>
      </c>
      <c r="K9" s="172">
        <f>IFERROR(J9/SUM(F9),0)</f>
        <v/>
      </c>
      <c r="L9" s="188" t="n">
        <v>24908.83</v>
      </c>
      <c r="M9" s="89">
        <f>SUM(L9/D9)</f>
        <v/>
      </c>
      <c r="N9" s="130" t="n">
        <v>14381.5</v>
      </c>
      <c r="O9" s="26" t="n"/>
    </row>
    <row r="10" ht="15.6" customHeight="1">
      <c r="A10" s="409" t="inlineStr">
        <is>
          <t xml:space="preserve">Waterkloof </t>
        </is>
      </c>
      <c r="B10" s="200">
        <f>'11 Nov - 17 Nov'!D10</f>
        <v/>
      </c>
      <c r="C10" s="73" t="n">
        <v>142236.65</v>
      </c>
      <c r="D10" s="145" t="n">
        <v>151772.77</v>
      </c>
      <c r="E10" s="163">
        <f>IFERROR((SUM(D10-C10)/C10),0)</f>
        <v/>
      </c>
      <c r="F10" s="166" t="n">
        <v>1046</v>
      </c>
      <c r="G10" s="63">
        <f>IFERROR(D10/F10,0)</f>
        <v/>
      </c>
      <c r="H10" s="61" t="n">
        <v>91</v>
      </c>
      <c r="I10" s="169">
        <f>IFERROR(H10/F10,0)</f>
        <v/>
      </c>
      <c r="J10" s="46">
        <f>SUM(62+H10+'23 Sept - 29 Sept'!H10+'30 Sept - 6 Oct'!H10+'7 Oct - 13 Oct'!H10+'14 Oct - 20 Oct'!H10+'21 Oct - 27 Oct'!H10+'28 Oct - 3 Nov'!H10+'4 Nov - 10 Nov'!H10+'11 Nov - 17 Nov'!H10)</f>
        <v/>
      </c>
      <c r="K10" s="172">
        <f>IFERROR(J10/SUM(F10),0)</f>
        <v/>
      </c>
      <c r="L10" s="188" t="n">
        <v>37302.13</v>
      </c>
      <c r="M10" s="89">
        <f>SUM(L10/D10)</f>
        <v/>
      </c>
      <c r="N10" s="130" t="n">
        <v>8493.549999999999</v>
      </c>
      <c r="O10" s="26" t="n"/>
    </row>
    <row r="11" ht="15.6" customHeight="1">
      <c r="A11" s="409" t="inlineStr">
        <is>
          <t>Eagles Landing</t>
        </is>
      </c>
      <c r="B11" s="200">
        <f>'11 Nov - 17 Nov'!D11</f>
        <v/>
      </c>
      <c r="C11" s="73" t="n">
        <v>318574.28</v>
      </c>
      <c r="D11" s="145" t="n">
        <v>372731.86</v>
      </c>
      <c r="E11" s="163">
        <f>IFERROR((SUM(D11-C11)/C11),0)</f>
        <v/>
      </c>
      <c r="F11" s="166" t="n">
        <v>2210</v>
      </c>
      <c r="G11" s="63">
        <f>IFERROR(D11/F11,0)</f>
        <v/>
      </c>
      <c r="H11" s="61" t="n">
        <v>199</v>
      </c>
      <c r="I11" s="169">
        <f>IFERROR(H11/F11,0)</f>
        <v/>
      </c>
      <c r="J11" s="46">
        <f>SUM(62+H11+'23 Sept - 29 Sept'!H11+'30 Sept - 6 Oct'!H11+'7 Oct - 13 Oct'!H11+'14 Oct - 20 Oct'!H11+'21 Oct - 27 Oct'!H11+'28 Oct - 3 Nov'!H11+'4 Nov - 10 Nov'!H11+'11 Nov - 17 Nov'!H11)</f>
        <v/>
      </c>
      <c r="K11" s="172">
        <f>IFERROR(J11/SUM(F11),0)</f>
        <v/>
      </c>
      <c r="L11" s="188" t="n">
        <v>23013.96</v>
      </c>
      <c r="M11" s="89">
        <f>SUM(L11/D11)</f>
        <v/>
      </c>
      <c r="N11" s="130" t="n">
        <v>19281.75</v>
      </c>
      <c r="O11" s="26" t="n"/>
    </row>
    <row r="12" ht="15.6" customHeight="1">
      <c r="A12" s="198" t="inlineStr">
        <is>
          <t>Stellenbosch</t>
        </is>
      </c>
      <c r="B12" s="200">
        <f>'11 Nov - 17 Nov'!D12</f>
        <v/>
      </c>
      <c r="C12" s="73" t="n">
        <v>128803.75</v>
      </c>
      <c r="D12" s="145" t="n">
        <v>143504.96</v>
      </c>
      <c r="E12" s="163">
        <f>IFERROR((SUM(D12-C12)/C12),0)</f>
        <v/>
      </c>
      <c r="F12" s="166" t="n">
        <v>1106</v>
      </c>
      <c r="G12" s="63">
        <f>IFERROR(D12/F12,0)</f>
        <v/>
      </c>
      <c r="H12" s="61" t="n">
        <v>91</v>
      </c>
      <c r="I12" s="169">
        <f>IFERROR(H12/F12,0)</f>
        <v/>
      </c>
      <c r="J12" s="46">
        <f>SUM(62+H12+'23 Sept - 29 Sept'!H12+'30 Sept - 6 Oct'!H12+'7 Oct - 13 Oct'!H12+'14 Oct - 20 Oct'!H12+'21 Oct - 27 Oct'!H12+'28 Oct - 3 Nov'!H12+'4 Nov - 10 Nov'!H12+'11 Nov - 17 Nov'!H12)</f>
        <v/>
      </c>
      <c r="K12" s="172">
        <f>IFERROR(J12/SUM(F12),0)</f>
        <v/>
      </c>
      <c r="L12" s="188" t="n">
        <v>25138.17</v>
      </c>
      <c r="M12" s="89">
        <f>SUM(L12/D12)</f>
        <v/>
      </c>
      <c r="N12" s="130" t="n">
        <v>9080</v>
      </c>
      <c r="O12" s="26" t="n"/>
    </row>
    <row r="13" ht="15.6" customHeight="1">
      <c r="A13" s="198" t="inlineStr">
        <is>
          <t>Lynnwood</t>
        </is>
      </c>
      <c r="B13" s="200">
        <f>'11 Nov - 17 Nov'!D13</f>
        <v/>
      </c>
      <c r="C13" s="73" t="n">
        <v>215499.76</v>
      </c>
      <c r="D13" s="145" t="n">
        <v>218108.55</v>
      </c>
      <c r="E13" s="163">
        <f>IFERROR((SUM(D13-C13)/C13),0)</f>
        <v/>
      </c>
      <c r="F13" s="166" t="n">
        <v>1629</v>
      </c>
      <c r="G13" s="63">
        <f>IFERROR(D13/F13,0)</f>
        <v/>
      </c>
      <c r="H13" s="61" t="n">
        <v>85</v>
      </c>
      <c r="I13" s="169">
        <f>IFERROR(H13/F13,0)</f>
        <v/>
      </c>
      <c r="J13" s="46">
        <f>SUM(62+H13+'23 Sept - 29 Sept'!H13+'30 Sept - 6 Oct'!H13+'7 Oct - 13 Oct'!H13+'14 Oct - 20 Oct'!H13+'21 Oct - 27 Oct'!H13+'28 Oct - 3 Nov'!H13+'4 Nov - 10 Nov'!H13+'11 Nov - 17 Nov'!H13)</f>
        <v/>
      </c>
      <c r="K13" s="172">
        <f>IFERROR(J13/SUM(F13),0)</f>
        <v/>
      </c>
      <c r="L13" s="188" t="n">
        <v>32109.52</v>
      </c>
      <c r="M13" s="89">
        <f>SUM(L13/D13)</f>
        <v/>
      </c>
      <c r="N13" s="130" t="n">
        <v>11610</v>
      </c>
      <c r="O13" s="26" t="n"/>
    </row>
    <row r="14" hidden="1" ht="15.6" customHeight="1">
      <c r="A14" s="198" t="inlineStr">
        <is>
          <t>Wellington</t>
        </is>
      </c>
      <c r="B14" s="200">
        <f>'11 Nov - 17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SUM(62+H14+'23 Sept - 29 Sept'!H14+'30 Sept - 6 Oct'!H14+'7 Oct - 13 Oct'!H14+'14 Oct - 20 Oct'!H14+'21 Oct - 27 Oct'!H14+'28 Oct - 3 Nov'!H14+'4 Nov - 10 Nov'!H14+'11 Nov - 17 Nov'!H14)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Nov - 17 Nov'!D15</f>
        <v/>
      </c>
      <c r="C15" s="73" t="n">
        <v>157729.49</v>
      </c>
      <c r="D15" s="145" t="n">
        <v>203493.11</v>
      </c>
      <c r="E15" s="163">
        <f>IFERROR((SUM(D15-C15)/C15),0)</f>
        <v/>
      </c>
      <c r="F15" s="166" t="n">
        <v>1720</v>
      </c>
      <c r="G15" s="63">
        <f>IFERROR(D15/F15,0)</f>
        <v/>
      </c>
      <c r="H15" s="61" t="n">
        <v>96</v>
      </c>
      <c r="I15" s="169">
        <f>IFERROR(H15/F15,0)</f>
        <v/>
      </c>
      <c r="J15" s="46">
        <f>SUM(62+H15+'23 Sept - 29 Sept'!H15+'30 Sept - 6 Oct'!H15+'7 Oct - 13 Oct'!H15+'14 Oct - 20 Oct'!H15+'21 Oct - 27 Oct'!H15+'28 Oct - 3 Nov'!H15+'4 Nov - 10 Nov'!H15+'11 Nov - 17 Nov'!H15)</f>
        <v/>
      </c>
      <c r="K15" s="172">
        <f>IFERROR(J15/SUM(F15),0)</f>
        <v/>
      </c>
      <c r="L15" s="188" t="n">
        <v>9907.83</v>
      </c>
      <c r="M15" s="89">
        <f>SUM(L15/D15)</f>
        <v/>
      </c>
      <c r="N15" s="130" t="n">
        <v>6022.72</v>
      </c>
      <c r="O15" s="9" t="n"/>
    </row>
    <row r="16" ht="15.6" customHeight="1">
      <c r="A16" s="198" t="inlineStr">
        <is>
          <t>Kyalami Corner</t>
        </is>
      </c>
      <c r="B16" s="200">
        <f>'11 Nov - 17 Nov'!D16</f>
        <v/>
      </c>
      <c r="C16" s="73" t="n">
        <v>125199.1</v>
      </c>
      <c r="D16" s="145" t="n">
        <v>130233.66</v>
      </c>
      <c r="E16" s="163">
        <f>IFERROR((SUM(D16-C16)/C16),0)</f>
        <v/>
      </c>
      <c r="F16" s="166" t="n">
        <v>838</v>
      </c>
      <c r="G16" s="63">
        <f>IFERROR(D16/F16,0)</f>
        <v/>
      </c>
      <c r="H16" s="61" t="n">
        <v>51</v>
      </c>
      <c r="I16" s="169">
        <f>IFERROR(H16/F16,0)</f>
        <v/>
      </c>
      <c r="J16" s="46">
        <f>SUM(62+H16+'23 Sept - 29 Sept'!H16+'30 Sept - 6 Oct'!H16+'7 Oct - 13 Oct'!H16+'14 Oct - 20 Oct'!H16+'21 Oct - 27 Oct'!H16+'28 Oct - 3 Nov'!H16+'4 Nov - 10 Nov'!H16+'11 Nov - 17 Nov'!H16)</f>
        <v/>
      </c>
      <c r="K16" s="172">
        <f>IFERROR(J16/SUM(F16),0)</f>
        <v/>
      </c>
      <c r="L16" s="188" t="n">
        <v>26885.35</v>
      </c>
      <c r="M16" s="89">
        <f>SUM(L16/D16)</f>
        <v/>
      </c>
      <c r="N16" s="130" t="n">
        <v>9274.5</v>
      </c>
      <c r="O16" s="9" t="n"/>
    </row>
    <row r="17" ht="15.6" customHeight="1">
      <c r="A17" s="198" t="inlineStr">
        <is>
          <t>Paulshof</t>
        </is>
      </c>
      <c r="B17" s="200">
        <f>'11 Nov - 17 Nov'!D17</f>
        <v/>
      </c>
      <c r="C17" s="73" t="n">
        <v>223473.37</v>
      </c>
      <c r="D17" s="145" t="n">
        <v>214348.71</v>
      </c>
      <c r="E17" s="163">
        <f>IFERROR((SUM(D17-C17)/C17),0)</f>
        <v/>
      </c>
      <c r="F17" s="166" t="n">
        <v>1348</v>
      </c>
      <c r="G17" s="63">
        <f>IFERROR(D17/F17,0)</f>
        <v/>
      </c>
      <c r="H17" s="61" t="n">
        <v>142</v>
      </c>
      <c r="I17" s="169">
        <f>IFERROR(H17/F17,0)</f>
        <v/>
      </c>
      <c r="J17" s="46">
        <f>SUM(62+H17+'23 Sept - 29 Sept'!H17+'30 Sept - 6 Oct'!H17+'7 Oct - 13 Oct'!H17+'14 Oct - 20 Oct'!H17+'21 Oct - 27 Oct'!H17+'28 Oct - 3 Nov'!H17+'4 Nov - 10 Nov'!H17+'11 Nov - 17 Nov'!H17)</f>
        <v/>
      </c>
      <c r="K17" s="172">
        <f>IFERROR(J17/SUM(F17),0)</f>
        <v/>
      </c>
      <c r="L17" s="188" t="n">
        <v>36162.74</v>
      </c>
      <c r="M17" s="89">
        <f>SUM(L17/D17)</f>
        <v/>
      </c>
      <c r="N17" s="130" t="n">
        <v>11749.8</v>
      </c>
      <c r="O17" s="9" t="n"/>
    </row>
    <row r="18" ht="16.2" customHeight="1" thickBot="1">
      <c r="A18" s="199" t="inlineStr">
        <is>
          <t>Queenswood</t>
        </is>
      </c>
      <c r="B18" s="201">
        <f>'11 Nov - 17 Nov'!D18</f>
        <v/>
      </c>
      <c r="C18" s="131" t="n"/>
      <c r="D18" s="146" t="n">
        <v>167548.27</v>
      </c>
      <c r="E18" s="164">
        <f>IFERROR((SUM(D18-C18)/C18),0)</f>
        <v/>
      </c>
      <c r="F18" s="167" t="n">
        <v>1339</v>
      </c>
      <c r="G18" s="132">
        <f>IFERROR(D18/F18,0)</f>
        <v/>
      </c>
      <c r="H18" s="133" t="n">
        <v>82</v>
      </c>
      <c r="I18" s="170">
        <f>IFERROR(H18/F18,0)</f>
        <v/>
      </c>
      <c r="J18" s="115">
        <f>SUM(62+H18+'23 Sept - 29 Sept'!H18+'30 Sept - 6 Oct'!H18+'7 Oct - 13 Oct'!H18+'14 Oct - 20 Oct'!H18+'21 Oct - 27 Oct'!H18+'28 Oct - 3 Nov'!H18+'4 Nov - 10 Nov'!H18+'11 Nov - 17 Nov'!H18)</f>
        <v/>
      </c>
      <c r="K18" s="173">
        <f>IFERROR(J18/SUM(F18),0)</f>
        <v/>
      </c>
      <c r="L18" s="189" t="n">
        <v>26816.39</v>
      </c>
      <c r="M18" s="116">
        <f>SUM(L18/D18)</f>
        <v/>
      </c>
      <c r="N18" s="134" t="n">
        <v>5048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Nov - 24 Nov'!D6</f>
        <v/>
      </c>
      <c r="C6" s="123" t="n">
        <v>323437.12</v>
      </c>
      <c r="D6" s="197" t="n">
        <v>296557.98</v>
      </c>
      <c r="E6" s="162">
        <f>IFERROR((SUM(D6-C6)/C6),0)</f>
        <v/>
      </c>
      <c r="F6" s="165" t="n">
        <v>2320</v>
      </c>
      <c r="G6" s="124">
        <f>IFERROR(D6/F6,0)</f>
        <v/>
      </c>
      <c r="H6" s="125" t="n">
        <v>77</v>
      </c>
      <c r="I6" s="168">
        <f>IFERROR(H6/F6,0)</f>
        <v/>
      </c>
      <c r="J6" s="46">
        <f>SUM(73+H6)</f>
        <v/>
      </c>
      <c r="K6" s="171">
        <f>IFERROR(J6/SUM(F6),0)</f>
        <v/>
      </c>
      <c r="L6" s="191" t="n">
        <v>44254.91</v>
      </c>
      <c r="M6" s="128">
        <f>SUM(L6/D6)</f>
        <v/>
      </c>
      <c r="N6" s="129" t="n">
        <v>9995.700000000001</v>
      </c>
      <c r="O6" s="26" t="n"/>
    </row>
    <row r="7" ht="15.6" customHeight="1">
      <c r="A7" s="409" t="inlineStr">
        <is>
          <t>Melrose Arch</t>
        </is>
      </c>
      <c r="B7" s="200">
        <f>'18 Nov - 24 Nov'!D7</f>
        <v/>
      </c>
      <c r="C7" s="73" t="n">
        <v>338183.88</v>
      </c>
      <c r="D7" s="145" t="n">
        <v>384641.91</v>
      </c>
      <c r="E7" s="163">
        <f>IFERROR((SUM(D7-C7)/C7),0)</f>
        <v/>
      </c>
      <c r="F7" s="166" t="n">
        <v>2771</v>
      </c>
      <c r="G7" s="63">
        <f>IFERROR(D7/F7,0)</f>
        <v/>
      </c>
      <c r="H7" s="61" t="n">
        <v>46</v>
      </c>
      <c r="I7" s="169">
        <f>IFERROR(H7/F7,0)</f>
        <v/>
      </c>
      <c r="J7" s="46">
        <f>SUM(157+H7)</f>
        <v/>
      </c>
      <c r="K7" s="172">
        <f>IFERROR(J7/SUM(F7),0)</f>
        <v/>
      </c>
      <c r="L7" s="188" t="n">
        <v>39464.57</v>
      </c>
      <c r="M7" s="89">
        <f>SUM(L7/D7)</f>
        <v/>
      </c>
      <c r="N7" s="130" t="n">
        <v>26539.26</v>
      </c>
      <c r="O7" s="26" t="n"/>
    </row>
    <row r="8" ht="15.6" customHeight="1">
      <c r="A8" s="409" t="inlineStr">
        <is>
          <t>Melville</t>
        </is>
      </c>
      <c r="B8" s="200">
        <f>'18 Nov - 24 Nov'!D8</f>
        <v/>
      </c>
      <c r="C8" s="73" t="n">
        <v>134962.83</v>
      </c>
      <c r="D8" s="145" t="n">
        <v>127269.54</v>
      </c>
      <c r="E8" s="163">
        <f>IFERROR((SUM(D8-C8)/C8),0)</f>
        <v/>
      </c>
      <c r="F8" s="166" t="n">
        <v>876</v>
      </c>
      <c r="G8" s="63">
        <f>IFERROR(D8/F8,0)</f>
        <v/>
      </c>
      <c r="H8" s="61" t="n">
        <v>7</v>
      </c>
      <c r="I8" s="169">
        <f>IFERROR(H8/F8,0)</f>
        <v/>
      </c>
      <c r="J8" s="46">
        <f>SUM(6+H8)</f>
        <v/>
      </c>
      <c r="K8" s="172">
        <f>IFERROR(J8/SUM(F8),0)</f>
        <v/>
      </c>
      <c r="L8" s="188" t="n">
        <v>34151.09</v>
      </c>
      <c r="M8" s="89">
        <f>SUM(L8/D8)</f>
        <v/>
      </c>
      <c r="N8" s="130" t="n">
        <v>4878.25</v>
      </c>
      <c r="O8" s="26" t="n"/>
    </row>
    <row r="9" ht="15.6" customHeight="1">
      <c r="A9" s="409" t="inlineStr">
        <is>
          <t>Rosebank</t>
        </is>
      </c>
      <c r="B9" s="200">
        <f>'18 Nov - 24 Nov'!D9</f>
        <v/>
      </c>
      <c r="C9" s="73" t="n">
        <v>420853.22</v>
      </c>
      <c r="D9" s="145" t="n">
        <v>344599.74</v>
      </c>
      <c r="E9" s="163">
        <f>IFERROR((SUM(D9-C9)/C9),0)</f>
        <v/>
      </c>
      <c r="F9" s="166" t="n">
        <v>2469</v>
      </c>
      <c r="G9" s="63">
        <f>IFERROR(D9/F9,0)</f>
        <v/>
      </c>
      <c r="H9" s="61" t="n">
        <v>24</v>
      </c>
      <c r="I9" s="169">
        <f>IFERROR(H9/F9,0)</f>
        <v/>
      </c>
      <c r="J9" s="46">
        <f>SUM(84+H9)</f>
        <v/>
      </c>
      <c r="K9" s="172">
        <f>IFERROR(J9/SUM(F9),0)</f>
        <v/>
      </c>
      <c r="L9" s="188" t="n">
        <v>23514.26</v>
      </c>
      <c r="M9" s="89">
        <f>SUM(L9/D9)</f>
        <v/>
      </c>
      <c r="N9" s="130" t="n">
        <v>13250</v>
      </c>
      <c r="O9" s="26" t="n"/>
    </row>
    <row r="10" ht="15.6" customHeight="1">
      <c r="A10" s="409" t="inlineStr">
        <is>
          <t xml:space="preserve">Waterkloof </t>
        </is>
      </c>
      <c r="B10" s="200">
        <f>'18 Nov - 24 Nov'!D10</f>
        <v/>
      </c>
      <c r="C10" s="73" t="n">
        <v>170438.21</v>
      </c>
      <c r="D10" s="145" t="n">
        <v>191019.57</v>
      </c>
      <c r="E10" s="163">
        <f>IFERROR((SUM(D10-C10)/C10),0)</f>
        <v/>
      </c>
      <c r="F10" s="166" t="n">
        <v>1354</v>
      </c>
      <c r="G10" s="63">
        <f>IFERROR(D10/F10,0)</f>
        <v/>
      </c>
      <c r="H10" s="61" t="n">
        <v>79</v>
      </c>
      <c r="I10" s="169">
        <f>IFERROR(H10/F10,0)</f>
        <v/>
      </c>
      <c r="J10" s="46">
        <f>SUM(86+H10)</f>
        <v/>
      </c>
      <c r="K10" s="172">
        <f>IFERROR(J10/SUM(F10),0)</f>
        <v/>
      </c>
      <c r="L10" s="188" t="n">
        <v>51263.7</v>
      </c>
      <c r="M10" s="89">
        <f>SUM(L10/D10)</f>
        <v/>
      </c>
      <c r="N10" s="130" t="n">
        <v>9988.1</v>
      </c>
      <c r="O10" s="26" t="n"/>
    </row>
    <row r="11" ht="15.6" customHeight="1">
      <c r="A11" s="409" t="inlineStr">
        <is>
          <t>Eagles Landing</t>
        </is>
      </c>
      <c r="B11" s="200">
        <f>'18 Nov - 24 Nov'!D11</f>
        <v/>
      </c>
      <c r="C11" s="73" t="n">
        <v>357727.57</v>
      </c>
      <c r="D11" s="145" t="n">
        <v>383307.6</v>
      </c>
      <c r="E11" s="163">
        <f>IFERROR((SUM(D11-C11)/C11),0)</f>
        <v/>
      </c>
      <c r="F11" s="166" t="n">
        <v>2349</v>
      </c>
      <c r="G11" s="63">
        <f>IFERROR(D11/F11,0)</f>
        <v/>
      </c>
      <c r="H11" s="61" t="n">
        <v>29</v>
      </c>
      <c r="I11" s="169">
        <f>IFERROR(H11/F11,0)</f>
        <v/>
      </c>
      <c r="J11" s="46">
        <f>SUM(138+H11)</f>
        <v/>
      </c>
      <c r="K11" s="172">
        <f>IFERROR(J11/SUM(F11),0)</f>
        <v/>
      </c>
      <c r="L11" s="188" t="n">
        <v>47233.17</v>
      </c>
      <c r="M11" s="89">
        <f>SUM(L11/D11)</f>
        <v/>
      </c>
      <c r="N11" s="130" t="n">
        <v>21166.9</v>
      </c>
      <c r="O11" s="26" t="n"/>
    </row>
    <row r="12" ht="15.6" customHeight="1">
      <c r="A12" s="198" t="inlineStr">
        <is>
          <t>Stellenbosch</t>
        </is>
      </c>
      <c r="B12" s="200">
        <f>'18 Nov - 24 Nov'!D12</f>
        <v/>
      </c>
      <c r="C12" s="73" t="n">
        <v>145174.03</v>
      </c>
      <c r="D12" s="145" t="n">
        <v>162809.36</v>
      </c>
      <c r="E12" s="163">
        <f>IFERROR((SUM(D12-C12)/C12),0)</f>
        <v/>
      </c>
      <c r="F12" s="166" t="n">
        <v>1254</v>
      </c>
      <c r="G12" s="63">
        <f>IFERROR(D12/F12,0)</f>
        <v/>
      </c>
      <c r="H12" s="61" t="n">
        <v>28</v>
      </c>
      <c r="I12" s="169">
        <f>IFERROR(H12/F12,0)</f>
        <v/>
      </c>
      <c r="J12" s="46">
        <f>SUM(54+H12)</f>
        <v/>
      </c>
      <c r="K12" s="172">
        <f>IFERROR(J12/SUM(F12),0)</f>
        <v/>
      </c>
      <c r="L12" s="188" t="n">
        <v>21847.35</v>
      </c>
      <c r="M12" s="89">
        <f>SUM(L12/D12)</f>
        <v/>
      </c>
      <c r="N12" s="130" t="n">
        <v>12730.5</v>
      </c>
      <c r="O12" s="26" t="n"/>
    </row>
    <row r="13" ht="15.6" customHeight="1">
      <c r="A13" s="198" t="inlineStr">
        <is>
          <t>Lynnwood</t>
        </is>
      </c>
      <c r="B13" s="200">
        <f>'18 Nov - 24 Nov'!D13</f>
        <v/>
      </c>
      <c r="C13" s="73" t="n">
        <v>291527.74</v>
      </c>
      <c r="D13" s="145" t="n">
        <v>242832.81</v>
      </c>
      <c r="E13" s="163">
        <f>IFERROR((SUM(D13-C13)/C13),0)</f>
        <v/>
      </c>
      <c r="F13" s="166" t="n">
        <v>1896</v>
      </c>
      <c r="G13" s="63">
        <f>IFERROR(D13/F13,0)</f>
        <v/>
      </c>
      <c r="H13" s="61" t="n">
        <v>9</v>
      </c>
      <c r="I13" s="169">
        <f>IFERROR(H13/F13,0)</f>
        <v/>
      </c>
      <c r="J13" s="46">
        <f>SUM(63+H13)</f>
        <v/>
      </c>
      <c r="K13" s="172">
        <f>IFERROR(J13/SUM(F13),0)</f>
        <v/>
      </c>
      <c r="L13" s="188" t="n">
        <v>38544.39</v>
      </c>
      <c r="M13" s="89">
        <f>SUM(L13/D13)</f>
        <v/>
      </c>
      <c r="N13" s="130" t="n">
        <v>10070.2</v>
      </c>
      <c r="O13" s="26" t="n"/>
    </row>
    <row r="14" hidden="1" ht="15.6" customHeight="1">
      <c r="A14" s="198" t="inlineStr">
        <is>
          <t>Wellington</t>
        </is>
      </c>
      <c r="B14" s="200">
        <f>'18 Nov - 24 Nov'!D14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Nov - 24 Nov'!D15</f>
        <v/>
      </c>
      <c r="C15" s="73" t="n">
        <v>204683.15</v>
      </c>
      <c r="D15" s="145" t="n">
        <v>234804.6</v>
      </c>
      <c r="E15" s="163">
        <f>IFERROR((SUM(D15-C15)/C15),0)</f>
        <v/>
      </c>
      <c r="F15" s="166" t="n">
        <v>1978</v>
      </c>
      <c r="G15" s="63">
        <f>IFERROR(D15/F15,0)</f>
        <v/>
      </c>
      <c r="H15" s="61" t="n">
        <v>48</v>
      </c>
      <c r="I15" s="169">
        <f>IFERROR(H15/F15,0)</f>
        <v/>
      </c>
      <c r="J15" s="46">
        <f>SUM(141+H15)</f>
        <v/>
      </c>
      <c r="K15" s="172">
        <f>IFERROR(J15/SUM(F15),0)</f>
        <v/>
      </c>
      <c r="L15" s="188" t="n">
        <v>14848.7</v>
      </c>
      <c r="M15" s="89">
        <f>SUM(L15/D15)</f>
        <v/>
      </c>
      <c r="N15" s="130" t="n">
        <v>9229.799999999999</v>
      </c>
      <c r="O15" s="9" t="n"/>
    </row>
    <row r="16" ht="15.6" customHeight="1">
      <c r="A16" s="198" t="inlineStr">
        <is>
          <t>Kyalami Corner</t>
        </is>
      </c>
      <c r="B16" s="200">
        <f>'18 Nov - 24 Nov'!D16</f>
        <v/>
      </c>
      <c r="C16" s="73" t="n">
        <v>160866.38</v>
      </c>
      <c r="D16" s="145" t="n">
        <v>133257.3</v>
      </c>
      <c r="E16" s="163">
        <f>IFERROR((SUM(D16-C16)/C16),0)</f>
        <v/>
      </c>
      <c r="F16" s="166" t="n">
        <v>882</v>
      </c>
      <c r="G16" s="63">
        <f>IFERROR(D16/F16,0)</f>
        <v/>
      </c>
      <c r="H16" s="61" t="n">
        <v>39</v>
      </c>
      <c r="I16" s="169">
        <f>IFERROR(H16/F16,0)</f>
        <v/>
      </c>
      <c r="J16" s="46">
        <f>SUM(56+H16)</f>
        <v/>
      </c>
      <c r="K16" s="172">
        <f>IFERROR(J16/SUM(F16),0)</f>
        <v/>
      </c>
      <c r="L16" s="188" t="n">
        <v>22492.32</v>
      </c>
      <c r="M16" s="89">
        <f>SUM(L16/D16)</f>
        <v/>
      </c>
      <c r="N16" s="130" t="n">
        <v>7601.5</v>
      </c>
      <c r="O16" s="9" t="n"/>
    </row>
    <row r="17" ht="15.6" customHeight="1">
      <c r="A17" s="198" t="inlineStr">
        <is>
          <t>Paulshof</t>
        </is>
      </c>
      <c r="B17" s="200">
        <f>'18 Nov - 24 Nov'!D17</f>
        <v/>
      </c>
      <c r="C17" s="73" t="n">
        <v>241469.15</v>
      </c>
      <c r="D17" s="145" t="n">
        <v>225430.06</v>
      </c>
      <c r="E17" s="163">
        <f>IFERROR((SUM(D17-C17)/C17),0)</f>
        <v/>
      </c>
      <c r="F17" s="166" t="n">
        <v>1416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SUM(67+H17)</f>
        <v/>
      </c>
      <c r="K17" s="172">
        <f>IFERROR(J17/SUM(F17),0)</f>
        <v/>
      </c>
      <c r="L17" s="188" t="n">
        <v>34263.26</v>
      </c>
      <c r="M17" s="89">
        <f>SUM(L17/D17)</f>
        <v/>
      </c>
      <c r="N17" s="130" t="n">
        <v>10141.9</v>
      </c>
      <c r="O17" s="9" t="n"/>
    </row>
    <row r="18" ht="16.2" customHeight="1" thickBot="1">
      <c r="A18" s="199" t="inlineStr">
        <is>
          <t>Queenswood</t>
        </is>
      </c>
      <c r="B18" s="201">
        <f>'18 Nov - 24 Nov'!D18</f>
        <v/>
      </c>
      <c r="C18" s="131" t="n"/>
      <c r="D18" s="146" t="n">
        <v>234073.41</v>
      </c>
      <c r="E18" s="164">
        <f>IFERROR((SUM(D18-C18)/C18),0)</f>
        <v/>
      </c>
      <c r="F18" s="167" t="n">
        <v>1779</v>
      </c>
      <c r="G18" s="132">
        <f>IFERROR(D18/F18,0)</f>
        <v/>
      </c>
      <c r="H18" s="133" t="n">
        <v>30</v>
      </c>
      <c r="I18" s="170">
        <f>IFERROR(H18/F18,0)</f>
        <v/>
      </c>
      <c r="J18" s="115">
        <f>SUM(169+H18)</f>
        <v/>
      </c>
      <c r="K18" s="173">
        <f>IFERROR(J18/SUM(F18),0)</f>
        <v/>
      </c>
      <c r="L18" s="189" t="n">
        <v>26490</v>
      </c>
      <c r="M18" s="116">
        <f>SUM(L18/D18)</f>
        <v/>
      </c>
      <c r="N18" s="134" t="n">
        <v>5262.9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Nov - 1 Dec'!D6</f>
        <v/>
      </c>
      <c r="C6" s="123" t="n">
        <v>320822.54</v>
      </c>
      <c r="D6" s="197" t="n">
        <v>312733.53</v>
      </c>
      <c r="E6" s="162">
        <f>IFERROR((SUM(D6-C6)/C6),0)</f>
        <v/>
      </c>
      <c r="F6" s="165" t="n">
        <v>2455</v>
      </c>
      <c r="G6" s="124">
        <f>IFERROR(D6/F6,0)</f>
        <v/>
      </c>
      <c r="H6" s="125" t="n">
        <v>23</v>
      </c>
      <c r="I6" s="168">
        <f>IFERROR(H6/F6,0)</f>
        <v/>
      </c>
      <c r="J6" s="46">
        <f>SUM(73+H6+'25 Nov - 1 Dec'!H6)</f>
        <v/>
      </c>
      <c r="K6" s="171">
        <f>IFERROR(J6/SUM(F6),0)</f>
        <v/>
      </c>
      <c r="L6" s="191" t="n">
        <v>49112.91</v>
      </c>
      <c r="M6" s="128">
        <f>SUM(L6/D6)</f>
        <v/>
      </c>
      <c r="N6" s="129" t="n">
        <v>14697.9</v>
      </c>
      <c r="O6" s="26" t="n"/>
    </row>
    <row r="7" ht="15.6" customHeight="1">
      <c r="A7" s="409" t="inlineStr">
        <is>
          <t>Melrose Arch</t>
        </is>
      </c>
      <c r="B7" s="200">
        <f>'25 Nov - 1 Dec'!D7</f>
        <v/>
      </c>
      <c r="C7" s="73" t="n">
        <v>391424.66</v>
      </c>
      <c r="D7" s="145" t="n">
        <v>341167.2</v>
      </c>
      <c r="E7" s="163">
        <f>IFERROR((SUM(D7-C7)/C7),0)</f>
        <v/>
      </c>
      <c r="F7" s="166" t="n">
        <v>2332</v>
      </c>
      <c r="G7" s="63">
        <f>IFERROR(D7/F7,0)</f>
        <v/>
      </c>
      <c r="H7" s="61" t="n">
        <v>13</v>
      </c>
      <c r="I7" s="169">
        <f>IFERROR(H7/F7,0)</f>
        <v/>
      </c>
      <c r="J7" s="46">
        <f>SUM(157+H7+'25 Nov - 1 Dec'!H7)</f>
        <v/>
      </c>
      <c r="K7" s="172">
        <f>IFERROR(J7/SUM(F7),0)</f>
        <v/>
      </c>
      <c r="L7" s="188" t="n">
        <v>47602.84</v>
      </c>
      <c r="M7" s="89">
        <f>SUM(L7/D7)</f>
        <v/>
      </c>
      <c r="N7" s="130" t="n">
        <v>23113.38</v>
      </c>
      <c r="O7" s="26" t="n"/>
    </row>
    <row r="8" ht="15.6" customHeight="1">
      <c r="A8" s="409" t="inlineStr">
        <is>
          <t>Melville</t>
        </is>
      </c>
      <c r="B8" s="200">
        <f>'25 Nov - 1 Dec'!D8</f>
        <v/>
      </c>
      <c r="C8" s="73" t="n">
        <v>164133.56</v>
      </c>
      <c r="D8" s="145" t="n">
        <v>134327.28</v>
      </c>
      <c r="E8" s="163">
        <f>IFERROR((SUM(D8-C8)/C8),0)</f>
        <v/>
      </c>
      <c r="F8" s="166" t="n">
        <v>936</v>
      </c>
      <c r="G8" s="63">
        <f>IFERROR(D8/F8,0)</f>
        <v/>
      </c>
      <c r="H8" s="61" t="n">
        <v>3</v>
      </c>
      <c r="I8" s="169">
        <f>IFERROR(H8/F8,0)</f>
        <v/>
      </c>
      <c r="J8" s="46">
        <f>SUM(6+H8+'25 Nov - 1 Dec'!H8)</f>
        <v/>
      </c>
      <c r="K8" s="172">
        <f>IFERROR(J8/SUM(F8),0)</f>
        <v/>
      </c>
      <c r="L8" s="188" t="n">
        <v>40595.91</v>
      </c>
      <c r="M8" s="89">
        <f>SUM(L8/D8)</f>
        <v/>
      </c>
      <c r="N8" s="130" t="n">
        <v>3979.2</v>
      </c>
      <c r="O8" s="26" t="n"/>
    </row>
    <row r="9" ht="15.6" customHeight="1">
      <c r="A9" s="409" t="inlineStr">
        <is>
          <t>Rosebank</t>
        </is>
      </c>
      <c r="B9" s="200">
        <f>'25 Nov - 1 Dec'!D9</f>
        <v/>
      </c>
      <c r="C9" s="73" t="n">
        <v>447805.95</v>
      </c>
      <c r="D9" s="145" t="n">
        <v>403789.74</v>
      </c>
      <c r="E9" s="163">
        <f>IFERROR((SUM(D9-C9)/C9),0)</f>
        <v/>
      </c>
      <c r="F9" s="166" t="n">
        <v>2716</v>
      </c>
      <c r="G9" s="63">
        <f>IFERROR(D9/F9,0)</f>
        <v/>
      </c>
      <c r="H9" s="61" t="n">
        <v>18</v>
      </c>
      <c r="I9" s="169">
        <f>IFERROR(H9/F9,0)</f>
        <v/>
      </c>
      <c r="J9" s="46">
        <f>SUM(84+H9+'25 Nov - 1 Dec'!H9)</f>
        <v/>
      </c>
      <c r="K9" s="172">
        <f>IFERROR(J9/SUM(F9),0)</f>
        <v/>
      </c>
      <c r="L9" s="188" t="n">
        <v>39285.7</v>
      </c>
      <c r="M9" s="89">
        <f>SUM(L9/D9)</f>
        <v/>
      </c>
      <c r="N9" s="130" t="n">
        <v>15043</v>
      </c>
      <c r="O9" s="26" t="n"/>
    </row>
    <row r="10" ht="15.6" customHeight="1">
      <c r="A10" s="409" t="inlineStr">
        <is>
          <t xml:space="preserve">Waterkloof </t>
        </is>
      </c>
      <c r="B10" s="200">
        <f>'25 Nov - 1 Dec'!D10</f>
        <v/>
      </c>
      <c r="C10" s="73" t="n">
        <v>148868.28</v>
      </c>
      <c r="D10" s="145" t="n">
        <v>198366.18</v>
      </c>
      <c r="E10" s="163">
        <f>IFERROR((SUM(D10-C10)/C10),0)</f>
        <v/>
      </c>
      <c r="F10" s="166" t="n">
        <v>1285</v>
      </c>
      <c r="G10" s="63">
        <f>IFERROR(D10/F10,0)</f>
        <v/>
      </c>
      <c r="H10" s="61" t="n">
        <v>21</v>
      </c>
      <c r="I10" s="169">
        <f>IFERROR(H10/F10,0)</f>
        <v/>
      </c>
      <c r="J10" s="46">
        <f>SUM(86+H10+'25 Nov - 1 Dec'!H10)</f>
        <v/>
      </c>
      <c r="K10" s="172">
        <f>IFERROR(J10/SUM(F10),0)</f>
        <v/>
      </c>
      <c r="L10" s="188" t="n">
        <v>44998.11</v>
      </c>
      <c r="M10" s="89">
        <f>SUM(L10/D10)</f>
        <v/>
      </c>
      <c r="N10" s="130" t="n">
        <v>11509.8</v>
      </c>
      <c r="O10" s="26" t="n"/>
    </row>
    <row r="11" ht="15.6" customHeight="1">
      <c r="A11" s="409" t="inlineStr">
        <is>
          <t>Eagles Landing</t>
        </is>
      </c>
      <c r="B11" s="200">
        <f>'25 Nov - 1 Dec'!D11</f>
        <v/>
      </c>
      <c r="C11" s="73" t="n">
        <v>371133.97</v>
      </c>
      <c r="D11" s="145" t="n">
        <v>390457.33</v>
      </c>
      <c r="E11" s="163">
        <f>IFERROR((SUM(D11-C11)/C11),0)</f>
        <v/>
      </c>
      <c r="F11" s="166" t="n">
        <v>2558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SUM(138+H11+'25 Nov - 1 Dec'!H11)</f>
        <v/>
      </c>
      <c r="K11" s="172">
        <f>IFERROR(J11/SUM(F11),0)</f>
        <v/>
      </c>
      <c r="L11" s="188" t="n">
        <v>53148.34</v>
      </c>
      <c r="M11" s="89">
        <f>SUM(L11/D11)</f>
        <v/>
      </c>
      <c r="N11" s="130" t="n">
        <v>20204</v>
      </c>
      <c r="O11" s="26" t="n"/>
    </row>
    <row r="12" ht="15.6" customHeight="1">
      <c r="A12" s="198" t="inlineStr">
        <is>
          <t>Stellenbosch</t>
        </is>
      </c>
      <c r="B12" s="200">
        <f>'25 Nov - 1 Dec'!D12</f>
        <v/>
      </c>
      <c r="C12" s="73" t="n">
        <v>150125.48</v>
      </c>
      <c r="D12" s="145" t="n">
        <v>171682.03</v>
      </c>
      <c r="E12" s="163">
        <f>IFERROR((SUM(D12-C12)/C12),0)</f>
        <v/>
      </c>
      <c r="F12" s="166" t="n">
        <v>1487</v>
      </c>
      <c r="G12" s="63">
        <f>IFERROR(D12/F12,0)</f>
        <v/>
      </c>
      <c r="H12" s="61" t="n">
        <v>7</v>
      </c>
      <c r="I12" s="169">
        <f>IFERROR(H12/F12,0)</f>
        <v/>
      </c>
      <c r="J12" s="46">
        <f>SUM(54+H12+'25 Nov - 1 Dec'!H12)</f>
        <v/>
      </c>
      <c r="K12" s="172">
        <f>IFERROR(J12/SUM(F12),0)</f>
        <v/>
      </c>
      <c r="L12" s="188" t="n">
        <v>25136.22</v>
      </c>
      <c r="M12" s="89">
        <f>SUM(L12/D12)</f>
        <v/>
      </c>
      <c r="N12" s="130" t="n">
        <v>11876.8</v>
      </c>
      <c r="O12" s="26" t="n"/>
    </row>
    <row r="13" ht="15.6" customHeight="1">
      <c r="A13" s="198" t="inlineStr">
        <is>
          <t>Lynnwood</t>
        </is>
      </c>
      <c r="B13" s="200">
        <f>'25 Nov - 1 Dec'!D13</f>
        <v/>
      </c>
      <c r="C13" s="73" t="n">
        <v>274465.48</v>
      </c>
      <c r="D13" s="145" t="n">
        <v>235871.29</v>
      </c>
      <c r="E13" s="163">
        <f>IFERROR((SUM(D13-C13)/C13),0)</f>
        <v/>
      </c>
      <c r="F13" s="166" t="n">
        <v>1774</v>
      </c>
      <c r="G13" s="63">
        <f>IFERROR(D13/F13,0)</f>
        <v/>
      </c>
      <c r="H13" s="61" t="n">
        <v>24</v>
      </c>
      <c r="I13" s="169">
        <f>IFERROR(H13/F13,0)</f>
        <v/>
      </c>
      <c r="J13" s="46">
        <f>SUM(63+H13+'25 Nov - 1 Dec'!H13)</f>
        <v/>
      </c>
      <c r="K13" s="172">
        <f>IFERROR(J13/SUM(F13),0)</f>
        <v/>
      </c>
      <c r="L13" s="188" t="n">
        <v>38791.7</v>
      </c>
      <c r="M13" s="89">
        <f>SUM(L13/D13)</f>
        <v/>
      </c>
      <c r="N13" s="130" t="n">
        <v>14037.7</v>
      </c>
      <c r="O13" s="26" t="n"/>
    </row>
    <row r="14" hidden="1" ht="15.6" customHeight="1">
      <c r="A14" s="198" t="inlineStr">
        <is>
          <t>Wellington</t>
        </is>
      </c>
      <c r="B14" s="200">
        <f>'25 Nov - 1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Nov - 1 Dec'!D15</f>
        <v/>
      </c>
      <c r="C15" s="73" t="n">
        <v>271640.67</v>
      </c>
      <c r="D15" s="145" t="n">
        <v>316293.24</v>
      </c>
      <c r="E15" s="163">
        <f>IFERROR((SUM(D15-C15)/C15),0)</f>
        <v/>
      </c>
      <c r="F15" s="166" t="n">
        <v>2837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SUM(141+H15+'25 Nov - 1 Dec'!H15)</f>
        <v/>
      </c>
      <c r="K15" s="172">
        <f>IFERROR(J15/SUM(F15),0)</f>
        <v/>
      </c>
      <c r="L15" s="188" t="n">
        <v>18231.83</v>
      </c>
      <c r="M15" s="89">
        <f>SUM(L15/D15)</f>
        <v/>
      </c>
      <c r="N15" s="130" t="n">
        <v>9392.450000000001</v>
      </c>
      <c r="O15" s="9" t="n"/>
    </row>
    <row r="16" ht="15.6" customHeight="1">
      <c r="A16" s="198" t="inlineStr">
        <is>
          <t>Kyalami Corner</t>
        </is>
      </c>
      <c r="B16" s="200">
        <f>'25 Nov - 1 Dec'!D16</f>
        <v/>
      </c>
      <c r="C16" s="73" t="n">
        <v>164090.57</v>
      </c>
      <c r="D16" s="145" t="n">
        <v>190910.89</v>
      </c>
      <c r="E16" s="163">
        <f>IFERROR((SUM(D16-C16)/C16),0)</f>
        <v/>
      </c>
      <c r="F16" s="166" t="n">
        <v>1167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SUM(56+H16+'25 Nov - 1 Dec'!H16)</f>
        <v/>
      </c>
      <c r="K16" s="172">
        <f>IFERROR(J16/SUM(F16),0)</f>
        <v/>
      </c>
      <c r="L16" s="188" t="n">
        <v>32323</v>
      </c>
      <c r="M16" s="89">
        <f>SUM(L16/D16)</f>
        <v/>
      </c>
      <c r="N16" s="130" t="n">
        <v>8352.299999999999</v>
      </c>
      <c r="O16" s="9" t="n"/>
    </row>
    <row r="17" ht="15.6" customHeight="1">
      <c r="A17" s="198" t="inlineStr">
        <is>
          <t>Paulshof</t>
        </is>
      </c>
      <c r="B17" s="200">
        <f>'25 Nov - 1 Dec'!D17</f>
        <v/>
      </c>
      <c r="C17" s="73" t="n">
        <v>227826.22</v>
      </c>
      <c r="D17" s="145" t="n">
        <v>221661.96</v>
      </c>
      <c r="E17" s="163">
        <f>IFERROR((SUM(D17-C17)/C17),0)</f>
        <v/>
      </c>
      <c r="F17" s="166" t="n">
        <v>1387</v>
      </c>
      <c r="G17" s="63">
        <f>IFERROR(D17/F17,0)</f>
        <v/>
      </c>
      <c r="H17" s="61" t="n">
        <v>9</v>
      </c>
      <c r="I17" s="169">
        <f>IFERROR(H17/F17,0)</f>
        <v/>
      </c>
      <c r="J17" s="46">
        <f>SUM(67+H17+'25 Nov - 1 Dec'!H17)</f>
        <v/>
      </c>
      <c r="K17" s="172">
        <f>IFERROR(J17/SUM(F17),0)</f>
        <v/>
      </c>
      <c r="L17" s="188" t="n">
        <v>37607.78</v>
      </c>
      <c r="M17" s="89">
        <f>SUM(L17/D17)</f>
        <v/>
      </c>
      <c r="N17" s="130" t="n">
        <v>11956.15</v>
      </c>
      <c r="O17" s="9" t="n"/>
    </row>
    <row r="18" ht="16.2" customHeight="1" thickBot="1">
      <c r="A18" s="199" t="inlineStr">
        <is>
          <t>Queenswood</t>
        </is>
      </c>
      <c r="B18" s="201">
        <f>'25 Nov - 1 Dec'!D18</f>
        <v/>
      </c>
      <c r="C18" s="131" t="n"/>
      <c r="D18" s="146" t="n">
        <v>208582.53</v>
      </c>
      <c r="E18" s="164">
        <f>IFERROR((SUM(D18-C18)/C18),0)</f>
        <v/>
      </c>
      <c r="F18" s="167" t="n">
        <v>1566</v>
      </c>
      <c r="G18" s="132">
        <f>IFERROR(D18/F18,0)</f>
        <v/>
      </c>
      <c r="H18" s="133" t="n">
        <v>34</v>
      </c>
      <c r="I18" s="170">
        <f>IFERROR(H18/F18,0)</f>
        <v/>
      </c>
      <c r="J18" s="115">
        <f>SUM(169+H18+'25 Nov - 1 Dec'!H18)</f>
        <v/>
      </c>
      <c r="K18" s="173">
        <f>IFERROR(J18/SUM(F18),0)</f>
        <v/>
      </c>
      <c r="L18" s="189" t="n">
        <v>31554.04</v>
      </c>
      <c r="M18" s="116">
        <f>SUM(L18/D18)</f>
        <v/>
      </c>
      <c r="N18" s="134" t="n">
        <v>3639.57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Dec - 8 Dec'!D6</f>
        <v/>
      </c>
      <c r="C6" s="123" t="n">
        <v>347035.47</v>
      </c>
      <c r="D6" s="197" t="n">
        <v>316187.89</v>
      </c>
      <c r="E6" s="162">
        <f>IFERROR((SUM(D6-C6)/C6),0)</f>
        <v/>
      </c>
      <c r="F6" s="165" t="n">
        <v>2919</v>
      </c>
      <c r="G6" s="124">
        <f>IFERROR(D6/F6,0)</f>
        <v/>
      </c>
      <c r="H6" s="125" t="n">
        <v>51</v>
      </c>
      <c r="I6" s="168">
        <f>IFERROR(H6/F6,0)</f>
        <v/>
      </c>
      <c r="J6" s="46">
        <f>SUM(109+H6)</f>
        <v/>
      </c>
      <c r="K6" s="171">
        <f>IFERROR(J6/SUM(F6),0)</f>
        <v/>
      </c>
      <c r="L6" s="191" t="n">
        <v>40015.09</v>
      </c>
      <c r="M6" s="128">
        <f>SUM(L6/D6)</f>
        <v/>
      </c>
      <c r="N6" s="129" t="n">
        <v>14577.4</v>
      </c>
      <c r="O6" s="26" t="n"/>
    </row>
    <row r="7" ht="15.6" customHeight="1">
      <c r="A7" s="409" t="inlineStr">
        <is>
          <t>Melrose Arch</t>
        </is>
      </c>
      <c r="B7" s="200">
        <f>'2 Dec - 8 Dec'!D7</f>
        <v/>
      </c>
      <c r="C7" s="73" t="n">
        <v>440642.84</v>
      </c>
      <c r="D7" s="145" t="n">
        <v>537525.52</v>
      </c>
      <c r="E7" s="163">
        <f>IFERROR((SUM(D7-C7)/C7),0)</f>
        <v/>
      </c>
      <c r="F7" s="166" t="n">
        <v>3718</v>
      </c>
      <c r="G7" s="63">
        <f>IFERROR(D7/F7,0)</f>
        <v/>
      </c>
      <c r="H7" s="61" t="n">
        <v>21</v>
      </c>
      <c r="I7" s="169">
        <f>IFERROR(H7/F7,0)</f>
        <v/>
      </c>
      <c r="J7" s="46">
        <f>SUM(H7+153)</f>
        <v/>
      </c>
      <c r="K7" s="172">
        <f>IFERROR(J7/SUM(F7),0)</f>
        <v/>
      </c>
      <c r="L7" s="188" t="n">
        <v>40710.48</v>
      </c>
      <c r="M7" s="89">
        <f>SUM(L7/D7)</f>
        <v/>
      </c>
      <c r="N7" s="130" t="n">
        <v>28814.11</v>
      </c>
      <c r="O7" s="26" t="n"/>
    </row>
    <row r="8" ht="15.6" customHeight="1">
      <c r="A8" s="409" t="inlineStr">
        <is>
          <t>Melville</t>
        </is>
      </c>
      <c r="B8" s="200">
        <f>'2 Dec - 8 Dec'!D8</f>
        <v/>
      </c>
      <c r="C8" s="73" t="n">
        <v>139078.93</v>
      </c>
      <c r="D8" s="145" t="n">
        <v>129151.53</v>
      </c>
      <c r="E8" s="163">
        <f>IFERROR((SUM(D8-C8)/C8),0)</f>
        <v/>
      </c>
      <c r="F8" s="166" t="n">
        <v>833</v>
      </c>
      <c r="G8" s="63">
        <f>IFERROR(D8/F8,0)</f>
        <v/>
      </c>
      <c r="H8" s="61" t="n">
        <v>16</v>
      </c>
      <c r="I8" s="169">
        <f>IFERROR(H8/F8,0)</f>
        <v/>
      </c>
      <c r="J8" s="46">
        <f>SUM(H8+12)</f>
        <v/>
      </c>
      <c r="K8" s="172">
        <f>IFERROR(J8/SUM(F8),0)</f>
        <v/>
      </c>
      <c r="L8" s="188" t="n">
        <v>28299.22</v>
      </c>
      <c r="M8" s="89">
        <f>SUM(L8/D8)</f>
        <v/>
      </c>
      <c r="N8" s="130" t="n">
        <v>5078.8</v>
      </c>
      <c r="O8" s="26" t="n"/>
    </row>
    <row r="9" ht="15.6" customHeight="1">
      <c r="A9" s="409" t="inlineStr">
        <is>
          <t>Rosebank</t>
        </is>
      </c>
      <c r="B9" s="200">
        <f>'2 Dec - 8 Dec'!D9</f>
        <v/>
      </c>
      <c r="C9" s="73" t="n">
        <v>463412.55</v>
      </c>
      <c r="D9" s="145" t="n">
        <v>461868.74</v>
      </c>
      <c r="E9" s="163">
        <f>IFERROR((SUM(D9-C9)/C9),0)</f>
        <v/>
      </c>
      <c r="F9" s="166" t="n">
        <v>3098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SUM(H9+79)</f>
        <v/>
      </c>
      <c r="K9" s="172">
        <f>IFERROR(J9/SUM(F9),0)</f>
        <v/>
      </c>
      <c r="L9" s="188" t="n">
        <v>34296.46</v>
      </c>
      <c r="M9" s="89">
        <f>SUM(L9/D9)</f>
        <v/>
      </c>
      <c r="N9" s="130" t="n">
        <v>18944</v>
      </c>
      <c r="O9" s="26" t="n"/>
    </row>
    <row r="10" ht="15.6" customHeight="1">
      <c r="A10" s="409" t="inlineStr">
        <is>
          <t xml:space="preserve">Waterkloof </t>
        </is>
      </c>
      <c r="B10" s="200">
        <f>'2 Dec - 8 Dec'!D10</f>
        <v/>
      </c>
      <c r="C10" s="73" t="n">
        <v>131512.71</v>
      </c>
      <c r="D10" s="145" t="n">
        <v>140709.13</v>
      </c>
      <c r="E10" s="163">
        <f>IFERROR((SUM(D10-C10)/C10),0)</f>
        <v/>
      </c>
      <c r="F10" s="166" t="n">
        <v>969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SUM(H10+130)</f>
        <v/>
      </c>
      <c r="K10" s="172">
        <f>IFERROR(J10/SUM(F10),0)</f>
        <v/>
      </c>
      <c r="L10" s="188" t="n">
        <v>41296.61</v>
      </c>
      <c r="M10" s="89">
        <f>SUM(L10/D10)</f>
        <v/>
      </c>
      <c r="N10" s="130" t="n">
        <v>9315.450000000001</v>
      </c>
      <c r="O10" s="26" t="n"/>
    </row>
    <row r="11" ht="15.6" customHeight="1">
      <c r="A11" s="409" t="inlineStr">
        <is>
          <t>Eagles Landing</t>
        </is>
      </c>
      <c r="B11" s="200">
        <f>'2 Dec - 8 Dec'!D11</f>
        <v/>
      </c>
      <c r="C11" s="73" t="n">
        <v>336899.8</v>
      </c>
      <c r="D11" s="145" t="n">
        <v>423448.09</v>
      </c>
      <c r="E11" s="163">
        <f>IFERROR((SUM(D11-C11)/C11),0)</f>
        <v/>
      </c>
      <c r="F11" s="166" t="n">
        <v>2682</v>
      </c>
      <c r="G11" s="63">
        <f>IFERROR(D11/F11,0)</f>
        <v/>
      </c>
      <c r="H11" s="61" t="n">
        <v>14</v>
      </c>
      <c r="I11" s="169">
        <f>IFERROR(H11/F11,0)</f>
        <v/>
      </c>
      <c r="J11" s="46">
        <f>SUM(H11+123)</f>
        <v/>
      </c>
      <c r="K11" s="172">
        <f>IFERROR(J11/SUM(F11),0)</f>
        <v/>
      </c>
      <c r="L11" s="188" t="n">
        <v>61996.52</v>
      </c>
      <c r="M11" s="89">
        <f>SUM(L11/D11)</f>
        <v/>
      </c>
      <c r="N11" s="130" t="n">
        <v>16172.75</v>
      </c>
      <c r="O11" s="26" t="n"/>
    </row>
    <row r="12" ht="15.6" customHeight="1">
      <c r="A12" s="198" t="inlineStr">
        <is>
          <t>Stellenbosch</t>
        </is>
      </c>
      <c r="B12" s="200">
        <f>'2 Dec - 8 Dec'!D12</f>
        <v/>
      </c>
      <c r="C12" s="73" t="n">
        <v>165364.96</v>
      </c>
      <c r="D12" s="145" t="n">
        <v>163386.12</v>
      </c>
      <c r="E12" s="163">
        <f>IFERROR((SUM(D12-C12)/C12),0)</f>
        <v/>
      </c>
      <c r="F12" s="166" t="n">
        <v>1216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SUM(H12+55)</f>
        <v/>
      </c>
      <c r="K12" s="172">
        <f>IFERROR(J12/SUM(F12),0)</f>
        <v/>
      </c>
      <c r="L12" s="188" t="n">
        <v>20472.61</v>
      </c>
      <c r="M12" s="89">
        <f>SUM(L12/D12)</f>
        <v/>
      </c>
      <c r="N12" s="130" t="n">
        <v>12794.3</v>
      </c>
      <c r="O12" s="26" t="n"/>
    </row>
    <row r="13" ht="15.6" customHeight="1">
      <c r="A13" s="198" t="inlineStr">
        <is>
          <t>Lynnwood</t>
        </is>
      </c>
      <c r="B13" s="200">
        <f>'2 Dec - 8 Dec'!D13</f>
        <v/>
      </c>
      <c r="C13" s="73" t="n">
        <v>249921.32</v>
      </c>
      <c r="D13" s="145" t="n">
        <v>219828.87</v>
      </c>
      <c r="E13" s="163">
        <f>IFERROR((SUM(D13-C13)/C13),0)</f>
        <v/>
      </c>
      <c r="F13" s="166" t="n">
        <v>1601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SUM(H13+66)</f>
        <v/>
      </c>
      <c r="K13" s="172">
        <f>IFERROR(J13/SUM(F13),0)</f>
        <v/>
      </c>
      <c r="L13" s="188" t="n">
        <v>32895.3</v>
      </c>
      <c r="M13" s="89">
        <f>SUM(L13/D13)</f>
        <v/>
      </c>
      <c r="N13" s="130" t="n">
        <v>12265</v>
      </c>
      <c r="O13" s="26" t="n"/>
    </row>
    <row r="14" hidden="1" ht="15.6" customHeight="1">
      <c r="A14" s="198" t="inlineStr">
        <is>
          <t>Wellington</t>
        </is>
      </c>
      <c r="B14" s="200">
        <f>'2 Dec - 8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Dec - 8 Dec'!D15</f>
        <v/>
      </c>
      <c r="C15" s="73" t="n">
        <v>413155.48</v>
      </c>
      <c r="D15" s="145" t="n">
        <v>423907.22</v>
      </c>
      <c r="E15" s="163">
        <f>IFERROR((SUM(D15-C15)/C15),0)</f>
        <v/>
      </c>
      <c r="F15" s="166" t="n">
        <v>3748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SUM(H15+134)</f>
        <v/>
      </c>
      <c r="K15" s="172">
        <f>IFERROR(J15/SUM(F15),0)</f>
        <v/>
      </c>
      <c r="L15" s="188" t="n">
        <v>20894.78</v>
      </c>
      <c r="M15" s="89">
        <f>SUM(L15/D15)</f>
        <v/>
      </c>
      <c r="N15" s="130" t="n">
        <v>14758.2</v>
      </c>
      <c r="O15" s="9" t="n"/>
    </row>
    <row r="16" ht="15.6" customHeight="1">
      <c r="A16" s="198" t="inlineStr">
        <is>
          <t>Kyalami Corner</t>
        </is>
      </c>
      <c r="B16" s="200">
        <f>'2 Dec - 8 Dec'!D16</f>
        <v/>
      </c>
      <c r="C16" s="73" t="n">
        <v>197982.05</v>
      </c>
      <c r="D16" s="145" t="n">
        <v>171875.61</v>
      </c>
      <c r="E16" s="163">
        <f>IFERROR((SUM(D16-C16)/C16),0)</f>
        <v/>
      </c>
      <c r="F16" s="166" t="n">
        <v>1054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SUM(H16+67)</f>
        <v/>
      </c>
      <c r="K16" s="172">
        <f>IFERROR(J16/SUM(F16),0)</f>
        <v/>
      </c>
      <c r="L16" s="188" t="n">
        <v>22829.61</v>
      </c>
      <c r="M16" s="89">
        <f>SUM(L16/D16)</f>
        <v/>
      </c>
      <c r="N16" s="130" t="n">
        <v>8266</v>
      </c>
      <c r="O16" s="9" t="n"/>
    </row>
    <row r="17" ht="15.6" customHeight="1">
      <c r="A17" s="198" t="inlineStr">
        <is>
          <t>Paulshof</t>
        </is>
      </c>
      <c r="B17" s="200">
        <f>'2 Dec - 8 Dec'!D17</f>
        <v/>
      </c>
      <c r="C17" s="73" t="n">
        <v>232833.57</v>
      </c>
      <c r="D17" s="145" t="n">
        <v>248340.4</v>
      </c>
      <c r="E17" s="163">
        <f>IFERROR((SUM(D17-C17)/C17),0)</f>
        <v/>
      </c>
      <c r="F17" s="166" t="n">
        <v>1604</v>
      </c>
      <c r="G17" s="63">
        <f>IFERROR(D17/F17,0)</f>
        <v/>
      </c>
      <c r="H17" s="61" t="n">
        <v>25</v>
      </c>
      <c r="I17" s="169">
        <f>IFERROR(H17/F17,0)</f>
        <v/>
      </c>
      <c r="J17" s="46">
        <f>SUM(H17+61)</f>
        <v/>
      </c>
      <c r="K17" s="172">
        <f>IFERROR(J17/SUM(F17),0)</f>
        <v/>
      </c>
      <c r="L17" s="188" t="n">
        <v>33515.96</v>
      </c>
      <c r="M17" s="89">
        <f>SUM(L17/D17)</f>
        <v/>
      </c>
      <c r="N17" s="130" t="n">
        <v>11875.18</v>
      </c>
      <c r="O17" s="9" t="n"/>
    </row>
    <row r="18" ht="16.2" customHeight="1" thickBot="1">
      <c r="A18" s="199" t="inlineStr">
        <is>
          <t>Queenswood</t>
        </is>
      </c>
      <c r="B18" s="201">
        <f>'2 Dec - 8 Dec'!D18</f>
        <v/>
      </c>
      <c r="C18" s="131" t="n"/>
      <c r="D18" s="146" t="n">
        <v>189552.3</v>
      </c>
      <c r="E18" s="164">
        <f>IFERROR((SUM(D18-C18)/C18),0)</f>
        <v/>
      </c>
      <c r="F18" s="167" t="n">
        <v>1439</v>
      </c>
      <c r="G18" s="132">
        <f>IFERROR(D18/F18,0)</f>
        <v/>
      </c>
      <c r="H18" s="133" t="n">
        <v>17</v>
      </c>
      <c r="I18" s="170">
        <f>IFERROR(H18/F18,0)</f>
        <v/>
      </c>
      <c r="J18" s="115">
        <f>SUM(H18+158)</f>
        <v/>
      </c>
      <c r="K18" s="173">
        <f>IFERROR(J18/SUM(F18),0)</f>
        <v/>
      </c>
      <c r="L18" s="189" t="n">
        <v>24491.09</v>
      </c>
      <c r="M18" s="116">
        <f>SUM(L18/D18)</f>
        <v/>
      </c>
      <c r="N18" s="134" t="n">
        <v>4521.5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SUM(B6:B18)</f>
        <v/>
      </c>
      <c r="C4" s="135">
        <f>SUM(C6:C18)-C14</f>
        <v/>
      </c>
      <c r="D4" s="142">
        <f>SUM(D6:D18)</f>
        <v/>
      </c>
      <c r="E4" s="152">
        <f>IFERROR((SUM(D4-C4)/C4),0)</f>
        <v/>
      </c>
      <c r="F4" s="147">
        <f>SUM(F6:F18)</f>
        <v/>
      </c>
      <c r="G4" s="136">
        <f>AVERAGE(G5:G18)</f>
        <v/>
      </c>
      <c r="H4" s="137">
        <f>SUM(H6:H18)</f>
        <v/>
      </c>
      <c r="I4" s="138">
        <f>IFERROR(H4/F4,0)</f>
        <v/>
      </c>
      <c r="J4" s="139">
        <f>SUM(J6:J18)</f>
        <v/>
      </c>
      <c r="K4" s="140">
        <f>IFERROR(J4/SUM(F4),0)</f>
        <v/>
      </c>
      <c r="L4" s="186" t="n"/>
      <c r="M4" s="140">
        <f>SUM(L4/D4)</f>
        <v/>
      </c>
      <c r="N4" s="141">
        <f>SUM(N6:N18)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Dec - 15 Dec'!D6</f>
        <v/>
      </c>
      <c r="C6" s="123" t="n">
        <v>364522.63</v>
      </c>
      <c r="D6" s="197" t="n">
        <v>332934.52</v>
      </c>
      <c r="E6" s="162">
        <f>IFERROR((SUM(D6-C6)/C6),0)</f>
        <v/>
      </c>
      <c r="F6" s="165" t="n">
        <v>2596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Dec'!H6)</f>
        <v/>
      </c>
      <c r="K6" s="171">
        <f>IFERROR(J6/SUM(F6),0)</f>
        <v/>
      </c>
      <c r="L6" s="191" t="n">
        <v>42714.65</v>
      </c>
      <c r="M6" s="128">
        <f>SUM(L6/D6)</f>
        <v/>
      </c>
      <c r="N6" s="129" t="n">
        <v>13034.8</v>
      </c>
      <c r="O6" s="26" t="n"/>
    </row>
    <row r="7" ht="15.6" customHeight="1">
      <c r="A7" s="409" t="inlineStr">
        <is>
          <t>Melrose Arch</t>
        </is>
      </c>
      <c r="B7" s="200">
        <f>'9 Dec - 15 Dec'!D7</f>
        <v/>
      </c>
      <c r="C7" s="73" t="n">
        <v>425021.24</v>
      </c>
      <c r="D7" s="145" t="n">
        <v>503613.1</v>
      </c>
      <c r="E7" s="163">
        <f>IFERROR((SUM(D7-C7)/C7),0)</f>
        <v/>
      </c>
      <c r="F7" s="166" t="n">
        <v>3698</v>
      </c>
      <c r="G7" s="63">
        <f>IFERROR(D7/F7,0)</f>
        <v/>
      </c>
      <c r="H7" s="61" t="n">
        <v>4</v>
      </c>
      <c r="I7" s="169">
        <f>IFERROR(H7/F7,0)</f>
        <v/>
      </c>
      <c r="J7" s="46">
        <f>SUM(H7+153+'9 Dec - 15 Dec'!H7)</f>
        <v/>
      </c>
      <c r="K7" s="172">
        <f>IFERROR(J7/SUM(F7),0)</f>
        <v/>
      </c>
      <c r="L7" s="188" t="n">
        <v>26691.74</v>
      </c>
      <c r="M7" s="89">
        <f>SUM(L7/D7)</f>
        <v/>
      </c>
      <c r="N7" s="130" t="n">
        <v>33114.75</v>
      </c>
      <c r="O7" s="26" t="n"/>
    </row>
    <row r="8" ht="15.6" customHeight="1">
      <c r="A8" s="409" t="inlineStr">
        <is>
          <t>Melville</t>
        </is>
      </c>
      <c r="B8" s="200">
        <f>'9 Dec - 15 Dec'!D8</f>
        <v/>
      </c>
      <c r="C8" s="73" t="n">
        <v>109671.37</v>
      </c>
      <c r="D8" s="145" t="n">
        <v>105968.29</v>
      </c>
      <c r="E8" s="163">
        <f>IFERROR((SUM(D8-C8)/C8),0)</f>
        <v/>
      </c>
      <c r="F8" s="166" t="n">
        <v>740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Dec'!H8)</f>
        <v/>
      </c>
      <c r="K8" s="172">
        <f>IFERROR(J8/SUM(F8),0)</f>
        <v/>
      </c>
      <c r="L8" s="188" t="n">
        <v>32951.22</v>
      </c>
      <c r="M8" s="89">
        <f>SUM(L8/D8)</f>
        <v/>
      </c>
      <c r="N8" s="130" t="n">
        <v>4291</v>
      </c>
      <c r="O8" s="26" t="n"/>
    </row>
    <row r="9" ht="15.6" customHeight="1">
      <c r="A9" s="409" t="inlineStr">
        <is>
          <t>Rosebank</t>
        </is>
      </c>
      <c r="B9" s="200">
        <f>'9 Dec - 15 Dec'!D9</f>
        <v/>
      </c>
      <c r="C9" s="73" t="n">
        <v>351087.57</v>
      </c>
      <c r="D9" s="145" t="n">
        <v>376764.91</v>
      </c>
      <c r="E9" s="163">
        <f>IFERROR((SUM(D9-C9)/C9),0)</f>
        <v/>
      </c>
      <c r="F9" s="166" t="n">
        <v>2754</v>
      </c>
      <c r="G9" s="63">
        <f>IFERROR(D9/F9,0)</f>
        <v/>
      </c>
      <c r="H9" s="61" t="n">
        <v>18</v>
      </c>
      <c r="I9" s="169">
        <f>IFERROR(H9/F9,0)</f>
        <v/>
      </c>
      <c r="J9" s="46">
        <f>SUM(H9+79+'9 Dec - 15 Dec'!H9)</f>
        <v/>
      </c>
      <c r="K9" s="172">
        <f>IFERROR(J9/SUM(F9),0)</f>
        <v/>
      </c>
      <c r="L9" s="188" t="n">
        <v>26607.96</v>
      </c>
      <c r="M9" s="89">
        <f>SUM(L9/D9)</f>
        <v/>
      </c>
      <c r="N9" s="130" t="n">
        <v>14611</v>
      </c>
      <c r="O9" s="26" t="n"/>
    </row>
    <row r="10" ht="15.6" customHeight="1">
      <c r="A10" s="409" t="inlineStr">
        <is>
          <t xml:space="preserve">Waterkloof </t>
        </is>
      </c>
      <c r="B10" s="200">
        <f>'9 Dec - 15 Dec'!D10</f>
        <v/>
      </c>
      <c r="C10" s="73" t="n">
        <v>115237.01</v>
      </c>
      <c r="D10" s="145" t="n">
        <v>115192.67</v>
      </c>
      <c r="E10" s="163">
        <f>IFERROR((SUM(D10-C10)/C10),0)</f>
        <v/>
      </c>
      <c r="F10" s="166" t="n">
        <v>771</v>
      </c>
      <c r="G10" s="63">
        <f>IFERROR(D10/F10,0)</f>
        <v/>
      </c>
      <c r="H10" s="61" t="n">
        <v>25</v>
      </c>
      <c r="I10" s="169">
        <f>IFERROR(H10/F10,0)</f>
        <v/>
      </c>
      <c r="J10" s="46">
        <f>SUM(H10+130+'9 Dec - 15 Dec'!H10)</f>
        <v/>
      </c>
      <c r="K10" s="172">
        <f>IFERROR(J10/SUM(F10),0)</f>
        <v/>
      </c>
      <c r="L10" s="188" t="n">
        <v>28292.19</v>
      </c>
      <c r="M10" s="89">
        <f>SUM(L10/D10)</f>
        <v/>
      </c>
      <c r="N10" s="130" t="n">
        <v>7133.5</v>
      </c>
      <c r="O10" s="26" t="n"/>
    </row>
    <row r="11" ht="15.6" customHeight="1">
      <c r="A11" s="409" t="inlineStr">
        <is>
          <t>Eagles Landing</t>
        </is>
      </c>
      <c r="B11" s="200">
        <f>'9 Dec - 15 Dec'!D11</f>
        <v/>
      </c>
      <c r="C11" s="73" t="n">
        <v>312544.07</v>
      </c>
      <c r="D11" s="145" t="n">
        <v>311404.3</v>
      </c>
      <c r="E11" s="163">
        <f>IFERROR((SUM(D11-C11)/C11),0)</f>
        <v/>
      </c>
      <c r="F11" s="166" t="n">
        <v>1844</v>
      </c>
      <c r="G11" s="63">
        <f>IFERROR(D11/F11,0)</f>
        <v/>
      </c>
      <c r="H11" s="61" t="n">
        <v>26</v>
      </c>
      <c r="I11" s="169">
        <f>IFERROR(H11/F11,0)</f>
        <v/>
      </c>
      <c r="J11" s="46">
        <f>SUM(H11+123+'9 Dec - 15 Dec'!H11)</f>
        <v/>
      </c>
      <c r="K11" s="172">
        <f>IFERROR(J11/SUM(F11),0)</f>
        <v/>
      </c>
      <c r="L11" s="188" t="n">
        <v>45711.7</v>
      </c>
      <c r="M11" s="89">
        <f>SUM(L11/D11)</f>
        <v/>
      </c>
      <c r="N11" s="130" t="n">
        <v>15350.05</v>
      </c>
      <c r="O11" s="26" t="n"/>
    </row>
    <row r="12" ht="15.6" customHeight="1">
      <c r="A12" s="198" t="inlineStr">
        <is>
          <t>Stellenbosch</t>
        </is>
      </c>
      <c r="B12" s="200">
        <f>'9 Dec - 15 Dec'!D12</f>
        <v/>
      </c>
      <c r="C12" s="73" t="n">
        <v>146411.36</v>
      </c>
      <c r="D12" s="145" t="n">
        <v>149883.34</v>
      </c>
      <c r="E12" s="163">
        <f>IFERROR((SUM(D12-C12)/C12),0)</f>
        <v/>
      </c>
      <c r="F12" s="166" t="n">
        <v>1169</v>
      </c>
      <c r="G12" s="63">
        <f>IFERROR(D12/F12,0)</f>
        <v/>
      </c>
      <c r="H12" s="61" t="n">
        <v>8</v>
      </c>
      <c r="I12" s="169">
        <f>IFERROR(H12/F12,0)</f>
        <v/>
      </c>
      <c r="J12" s="46">
        <f>SUM(H12+55+'9 Dec - 15 Dec'!H12)</f>
        <v/>
      </c>
      <c r="K12" s="172">
        <f>IFERROR(J12/SUM(F12),0)</f>
        <v/>
      </c>
      <c r="L12" s="188" t="n">
        <v>21440.87</v>
      </c>
      <c r="M12" s="89">
        <f>SUM(L12/D12)</f>
        <v/>
      </c>
      <c r="N12" s="130" t="n">
        <v>12076.6</v>
      </c>
      <c r="O12" s="26" t="n"/>
    </row>
    <row r="13" ht="15.6" customHeight="1">
      <c r="A13" s="198" t="inlineStr">
        <is>
          <t>Lynnwood</t>
        </is>
      </c>
      <c r="B13" s="200">
        <f>'9 Dec - 15 Dec'!D13</f>
        <v/>
      </c>
      <c r="C13" s="73" t="n">
        <v>212746.47</v>
      </c>
      <c r="D13" s="145" t="n">
        <v>199187.93</v>
      </c>
      <c r="E13" s="163">
        <f>IFERROR((SUM(D13-C13)/C13),0)</f>
        <v/>
      </c>
      <c r="F13" s="166" t="n">
        <v>1430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Dec'!H13)</f>
        <v/>
      </c>
      <c r="K13" s="172">
        <f>IFERROR(J13/SUM(F13),0)</f>
        <v/>
      </c>
      <c r="L13" s="188" t="n">
        <v>31268.35</v>
      </c>
      <c r="M13" s="89">
        <f>SUM(L13/D13)</f>
        <v/>
      </c>
      <c r="N13" s="130" t="n">
        <v>7648.1</v>
      </c>
      <c r="O13" s="26" t="n"/>
    </row>
    <row r="14" hidden="1" ht="15.6" customHeight="1">
      <c r="A14" s="198" t="inlineStr">
        <is>
          <t>Wellington</t>
        </is>
      </c>
      <c r="B14" s="200">
        <f>'9 Dec - 15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Dec - 15 Dec'!D15</f>
        <v/>
      </c>
      <c r="C15" s="73" t="n">
        <v>735480.34</v>
      </c>
      <c r="D15" s="145" t="n">
        <v>721819.17</v>
      </c>
      <c r="E15" s="163">
        <f>IFERROR((SUM(D15-C15)/C15),0)</f>
        <v/>
      </c>
      <c r="F15" s="166" t="n">
        <v>6359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Dec'!H15)</f>
        <v/>
      </c>
      <c r="K15" s="172">
        <f>IFERROR(J15/SUM(F15),0)</f>
        <v/>
      </c>
      <c r="L15" s="188" t="n">
        <v>36134.52</v>
      </c>
      <c r="M15" s="89">
        <f>SUM(L15/D15)</f>
        <v/>
      </c>
      <c r="N15" s="130" t="n">
        <v>24911</v>
      </c>
      <c r="O15" s="9" t="n"/>
    </row>
    <row r="16" ht="15.6" customHeight="1">
      <c r="A16" s="198" t="inlineStr">
        <is>
          <t>Kyalami Corner</t>
        </is>
      </c>
      <c r="B16" s="200">
        <f>'9 Dec - 15 Dec'!D16</f>
        <v/>
      </c>
      <c r="C16" s="73" t="n">
        <v>129028.04</v>
      </c>
      <c r="D16" s="145" t="n">
        <v>121137.18</v>
      </c>
      <c r="E16" s="163">
        <f>IFERROR((SUM(D16-C16)/C16),0)</f>
        <v/>
      </c>
      <c r="F16" s="166" t="n">
        <v>750</v>
      </c>
      <c r="G16" s="63">
        <f>IFERROR(D16/F16,0)</f>
        <v/>
      </c>
      <c r="H16" s="61" t="n">
        <v>9</v>
      </c>
      <c r="I16" s="169">
        <f>IFERROR(H16/F16,0)</f>
        <v/>
      </c>
      <c r="J16" s="46">
        <f>SUM(H16+67+'9 Dec - 15 Dec'!H16)</f>
        <v/>
      </c>
      <c r="K16" s="172">
        <f>IFERROR(J16/SUM(F16),0)</f>
        <v/>
      </c>
      <c r="L16" s="188" t="n">
        <v>26161.6</v>
      </c>
      <c r="M16" s="89">
        <f>SUM(L16/D16)</f>
        <v/>
      </c>
      <c r="N16" s="130" t="n">
        <v>6155</v>
      </c>
      <c r="O16" s="9" t="n"/>
    </row>
    <row r="17" ht="15.6" customHeight="1">
      <c r="A17" s="198" t="inlineStr">
        <is>
          <t>Paulshof</t>
        </is>
      </c>
      <c r="B17" s="200">
        <f>'9 Dec - 15 Dec'!D17</f>
        <v/>
      </c>
      <c r="C17" s="73" t="n">
        <v>230910.65</v>
      </c>
      <c r="D17" s="145" t="n">
        <v>210622.19</v>
      </c>
      <c r="E17" s="163">
        <f>IFERROR((SUM(D17-C17)/C17),0)</f>
        <v/>
      </c>
      <c r="F17" s="166" t="n">
        <v>1276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Dec'!H17)</f>
        <v/>
      </c>
      <c r="K17" s="172">
        <f>IFERROR(J17/SUM(F17),0)</f>
        <v/>
      </c>
      <c r="L17" s="188" t="n">
        <v>29537.22</v>
      </c>
      <c r="M17" s="89">
        <f>SUM(L17/D17)</f>
        <v/>
      </c>
      <c r="N17" s="130" t="n">
        <v>10279.45</v>
      </c>
      <c r="O17" s="9" t="n"/>
    </row>
    <row r="18" ht="16.2" customHeight="1" thickBot="1">
      <c r="A18" s="199" t="inlineStr">
        <is>
          <t>Queenswood</t>
        </is>
      </c>
      <c r="B18" s="201">
        <f>'9 Dec - 15 Dec'!D18</f>
        <v/>
      </c>
      <c r="C18" s="131" t="n"/>
      <c r="D18" s="146" t="n">
        <v>157671.4</v>
      </c>
      <c r="E18" s="164">
        <f>IFERROR((SUM(D18-C18)/C18),0)</f>
        <v/>
      </c>
      <c r="F18" s="167" t="n">
        <v>1225</v>
      </c>
      <c r="G18" s="132">
        <f>IFERROR(D18/F18,0)</f>
        <v/>
      </c>
      <c r="H18" s="133" t="n">
        <v>10</v>
      </c>
      <c r="I18" s="170">
        <f>IFERROR(H18/F18,0)</f>
        <v/>
      </c>
      <c r="J18" s="115">
        <f>SUM(H18+158+'9 Dec - 15 Dec'!H18)</f>
        <v/>
      </c>
      <c r="K18" s="173">
        <f>IFERROR(J18/SUM(F18),0)</f>
        <v/>
      </c>
      <c r="L18" s="189" t="n">
        <v>25997.57</v>
      </c>
      <c r="M18" s="116">
        <f>SUM(L18/D18)</f>
        <v/>
      </c>
      <c r="N18" s="134" t="n">
        <v>2236</v>
      </c>
      <c r="O18" s="9" t="n"/>
    </row>
    <row r="19">
      <c r="A19" s="81" t="n"/>
      <c r="B19" s="81" t="n"/>
      <c r="C19" s="81" t="n"/>
      <c r="D19" s="395" t="n"/>
      <c r="E19" s="81" t="n"/>
      <c r="F19" s="396" t="n"/>
      <c r="G19" s="397" t="n"/>
      <c r="H19" s="91" t="inlineStr">
        <is>
          <t>.</t>
        </is>
      </c>
      <c r="I19" s="397" t="n"/>
      <c r="J19" s="397" t="n"/>
      <c r="K19" s="397" t="n"/>
      <c r="L19" s="397" t="n"/>
      <c r="M19" s="397" t="n"/>
      <c r="N19" s="397" t="n"/>
      <c r="O19" s="9" t="n"/>
    </row>
    <row r="20">
      <c r="A20" s="81" t="n"/>
      <c r="B20" s="81" t="n"/>
      <c r="C20" s="81" t="n"/>
      <c r="D20" s="83" t="n"/>
      <c r="E20" s="81" t="n"/>
      <c r="F20" s="82" t="n"/>
      <c r="G20" s="81" t="n"/>
      <c r="H20" s="81" t="n"/>
      <c r="I20" s="81" t="n"/>
      <c r="J20" s="81" t="n"/>
      <c r="K20" s="81" t="n"/>
      <c r="L20" s="81" t="n"/>
      <c r="M20" s="81" t="n"/>
      <c r="N20" s="81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 ht="15" customHeight="1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27" t="n"/>
      <c r="O22" s="9" t="n"/>
    </row>
    <row r="23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81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</sheetData>
  <conditionalFormatting sqref="C6:C18">
    <cfRule type="cellIs" priority="5" operator="equal" dxfId="0">
      <formula>0</formula>
    </cfRule>
  </conditionalFormatting>
  <conditionalFormatting sqref="D7:D18">
    <cfRule type="cellIs" priority="4" operator="equal" dxfId="0">
      <formula>0</formula>
    </cfRule>
  </conditionalFormatting>
  <conditionalFormatting sqref="E6:K18">
    <cfRule type="cellIs" priority="3" operator="equal" dxfId="0">
      <formula>0</formula>
    </cfRule>
  </conditionalFormatting>
  <conditionalFormatting sqref="L7:L18">
    <cfRule type="cellIs" priority="2" operator="equal" dxfId="0">
      <formula>0</formula>
    </cfRule>
  </conditionalFormatting>
  <conditionalFormatting sqref="M6:N18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'16 Dec - 22 Dec'!D6</f>
        <v/>
      </c>
      <c r="C6" s="123" t="n">
        <v>315787.46</v>
      </c>
      <c r="D6" s="197" t="n">
        <v>251356.61</v>
      </c>
      <c r="E6" s="162">
        <f>IFERROR((SUM(D6-C6)/C6),0)</f>
        <v/>
      </c>
      <c r="F6" s="165" t="n">
        <v>1949</v>
      </c>
      <c r="G6" s="124">
        <f>IFERROR(D6/F6,0)</f>
        <v/>
      </c>
      <c r="H6" s="125" t="n">
        <v>18</v>
      </c>
      <c r="I6" s="168">
        <f>IFERROR(H6/F6,0)</f>
        <v/>
      </c>
      <c r="J6" s="46">
        <f>SUM(109+H6+'9 Dec - 15 Dec'!H6+'16 Dec - 22 Dec'!H6)</f>
        <v/>
      </c>
      <c r="K6" s="171">
        <f>IFERROR(J6/SUM(F6),0)</f>
        <v/>
      </c>
      <c r="L6" s="191" t="n">
        <v>31842.43</v>
      </c>
      <c r="M6" s="128">
        <f>SUM(L6/D6)</f>
        <v/>
      </c>
      <c r="N6" s="129" t="n">
        <v>9550.9</v>
      </c>
      <c r="O6" s="26" t="n"/>
    </row>
    <row r="7" ht="15.6" customHeight="1">
      <c r="A7" s="409" t="inlineStr">
        <is>
          <t>Melrose Arch</t>
        </is>
      </c>
      <c r="B7" s="200">
        <f>'16 Dec - 22 Dec'!D7</f>
        <v/>
      </c>
      <c r="C7" s="73" t="n">
        <v>195208.54</v>
      </c>
      <c r="D7" s="145" t="n">
        <v>285024.23</v>
      </c>
      <c r="E7" s="163">
        <f>IFERROR((SUM(D7-C7)/C7),0)</f>
        <v/>
      </c>
      <c r="F7" s="166" t="n">
        <v>2229</v>
      </c>
      <c r="G7" s="63">
        <f>IFERROR(D7/F7,0)</f>
        <v/>
      </c>
      <c r="H7" s="61" t="n">
        <v>19</v>
      </c>
      <c r="I7" s="169">
        <f>IFERROR(H7/F7,0)</f>
        <v/>
      </c>
      <c r="J7" s="46">
        <f>SUM(H7+153+'9 Dec - 15 Dec'!H7+'16 Dec - 22 Dec'!H7)</f>
        <v/>
      </c>
      <c r="K7" s="172">
        <f>IFERROR(J7/SUM(F7),0)</f>
        <v/>
      </c>
      <c r="L7" s="188" t="n">
        <v>18607.83</v>
      </c>
      <c r="M7" s="89">
        <f>SUM(L7/D7)</f>
        <v/>
      </c>
      <c r="N7" s="130" t="n">
        <v>17769.33</v>
      </c>
      <c r="O7" s="26" t="n"/>
    </row>
    <row r="8" ht="15.6" customHeight="1">
      <c r="A8" s="409" t="inlineStr">
        <is>
          <t>Melville</t>
        </is>
      </c>
      <c r="B8" s="200">
        <f>'16 Dec - 22 Dec'!D8</f>
        <v/>
      </c>
      <c r="C8" s="73" t="n">
        <v>67639.25999999999</v>
      </c>
      <c r="D8" s="145" t="n">
        <v>47067.04</v>
      </c>
      <c r="E8" s="163">
        <f>IFERROR((SUM(D8-C8)/C8),0)</f>
        <v/>
      </c>
      <c r="F8" s="166" t="n">
        <v>321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Dec'!H8)</f>
        <v/>
      </c>
      <c r="K8" s="172">
        <f>IFERROR(J8/SUM(F8),0)</f>
        <v/>
      </c>
      <c r="L8" s="188" t="n">
        <v>12063.7</v>
      </c>
      <c r="M8" s="89">
        <f>SUM(L8/D8)</f>
        <v/>
      </c>
      <c r="N8" s="130" t="n">
        <v>1869.5</v>
      </c>
      <c r="O8" s="26" t="n"/>
    </row>
    <row r="9" ht="15.6" customHeight="1">
      <c r="A9" s="409" t="inlineStr">
        <is>
          <t>Rosebank</t>
        </is>
      </c>
      <c r="B9" s="200">
        <f>'16 Dec - 22 Dec'!D9</f>
        <v/>
      </c>
      <c r="C9" s="73" t="n">
        <v>251347.92</v>
      </c>
      <c r="D9" s="145" t="n">
        <v>252630.01</v>
      </c>
      <c r="E9" s="163">
        <f>IFERROR((SUM(D9-C9)/C9),0)</f>
        <v/>
      </c>
      <c r="F9" s="166" t="n">
        <v>2109</v>
      </c>
      <c r="G9" s="63">
        <f>IFERROR(D9/F9,0)</f>
        <v/>
      </c>
      <c r="H9" s="61" t="n">
        <v>22</v>
      </c>
      <c r="I9" s="169">
        <f>IFERROR(H9/F9,0)</f>
        <v/>
      </c>
      <c r="J9" s="46">
        <f>SUM(H9+79+'9 Dec - 15 Dec'!H9+'16 Dec - 22 Dec'!H9)</f>
        <v/>
      </c>
      <c r="K9" s="172">
        <f>IFERROR(J9/SUM(F9),0)</f>
        <v/>
      </c>
      <c r="L9" s="188" t="n">
        <v>9135.26</v>
      </c>
      <c r="M9" s="89">
        <f>SUM(L9/D9)</f>
        <v/>
      </c>
      <c r="N9" s="130" t="n">
        <v>9425.15</v>
      </c>
      <c r="O9" s="26" t="n"/>
    </row>
    <row r="10" ht="15.6" customHeight="1">
      <c r="A10" s="409" t="inlineStr">
        <is>
          <t xml:space="preserve">Waterkloof </t>
        </is>
      </c>
      <c r="B10" s="200">
        <f>'16 Dec - 22 Dec'!D10</f>
        <v/>
      </c>
      <c r="C10" s="73" t="n">
        <v>87101.46000000001</v>
      </c>
      <c r="D10" s="145" t="n">
        <v>89635.60000000001</v>
      </c>
      <c r="E10" s="163">
        <f>IFERROR((SUM(D10-C10)/C10),0)</f>
        <v/>
      </c>
      <c r="F10" s="166" t="n">
        <v>595</v>
      </c>
      <c r="G10" s="63">
        <f>IFERROR(D10/F10,0)</f>
        <v/>
      </c>
      <c r="H10" s="61" t="n">
        <v>12</v>
      </c>
      <c r="I10" s="169">
        <f>IFERROR(H10/F10,0)</f>
        <v/>
      </c>
      <c r="J10" s="46">
        <f>SUM(H10+130+'9 Dec - 15 Dec'!H10+'16 Dec - 22 Dec'!H10)</f>
        <v/>
      </c>
      <c r="K10" s="172">
        <f>IFERROR(J10/SUM(F10),0)</f>
        <v/>
      </c>
      <c r="L10" s="188" t="n">
        <v>26618.22</v>
      </c>
      <c r="M10" s="89">
        <f>SUM(L10/D10)</f>
        <v/>
      </c>
      <c r="N10" s="130" t="n">
        <v>6478.2</v>
      </c>
      <c r="O10" s="26" t="n"/>
    </row>
    <row r="11" ht="15.6" customHeight="1">
      <c r="A11" s="409" t="inlineStr">
        <is>
          <t>Eagles Landing</t>
        </is>
      </c>
      <c r="B11" s="200">
        <f>'16 Dec - 22 Dec'!D11</f>
        <v/>
      </c>
      <c r="C11" s="73" t="n">
        <v>231448.73</v>
      </c>
      <c r="D11" s="145" t="n">
        <v>234511.26</v>
      </c>
      <c r="E11" s="163">
        <f>IFERROR((SUM(D11-C11)/C11),0)</f>
        <v/>
      </c>
      <c r="F11" s="166" t="n">
        <v>1568</v>
      </c>
      <c r="G11" s="63">
        <f>IFERROR(D11/F11,0)</f>
        <v/>
      </c>
      <c r="H11" s="61" t="n">
        <v>5</v>
      </c>
      <c r="I11" s="169">
        <f>IFERROR(H11/F11,0)</f>
        <v/>
      </c>
      <c r="J11" s="46">
        <f>SUM(H11+123+'9 Dec - 15 Dec'!H11+'16 Dec - 22 Dec'!H11)</f>
        <v/>
      </c>
      <c r="K11" s="172">
        <f>IFERROR(J11/SUM(F11),0)</f>
        <v/>
      </c>
      <c r="L11" s="188" t="n">
        <v>39106.36</v>
      </c>
      <c r="M11" s="89">
        <f>SUM(L11/D11)</f>
        <v/>
      </c>
      <c r="N11" s="130" t="n">
        <v>13504.3</v>
      </c>
      <c r="O11" s="26" t="n"/>
    </row>
    <row r="12" ht="15.6" customHeight="1">
      <c r="A12" s="198" t="inlineStr">
        <is>
          <t>Stellenbosch</t>
        </is>
      </c>
      <c r="B12" s="200">
        <f>'16 Dec - 22 Dec'!D12</f>
        <v/>
      </c>
      <c r="C12" s="73" t="n">
        <v>108709.47</v>
      </c>
      <c r="D12" s="145" t="n">
        <v>128991.96</v>
      </c>
      <c r="E12" s="163">
        <f>IFERROR((SUM(D12-C12)/C12),0)</f>
        <v/>
      </c>
      <c r="F12" s="166" t="n">
        <v>973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Dec'!H12)</f>
        <v/>
      </c>
      <c r="K12" s="172">
        <f>IFERROR(J12/SUM(F12),0)</f>
        <v/>
      </c>
      <c r="L12" s="188" t="n">
        <v>18999</v>
      </c>
      <c r="M12" s="89">
        <f>SUM(L12/D12)</f>
        <v/>
      </c>
      <c r="N12" s="130" t="n">
        <v>8286</v>
      </c>
      <c r="O12" s="26" t="n"/>
    </row>
    <row r="13" ht="15.6" customHeight="1">
      <c r="A13" s="198" t="inlineStr">
        <is>
          <t>Lynnwood</t>
        </is>
      </c>
      <c r="B13" s="200">
        <f>'16 Dec - 22 Dec'!D13</f>
        <v/>
      </c>
      <c r="C13" s="73" t="n">
        <v>149304.72</v>
      </c>
      <c r="D13" s="145" t="n">
        <v>128106.28</v>
      </c>
      <c r="E13" s="163">
        <f>IFERROR((SUM(D13-C13)/C13),0)</f>
        <v/>
      </c>
      <c r="F13" s="166" t="n">
        <v>913</v>
      </c>
      <c r="G13" s="63">
        <f>IFERROR(D13/F13,0)</f>
        <v/>
      </c>
      <c r="H13" s="61" t="n">
        <v>7</v>
      </c>
      <c r="I13" s="169">
        <f>IFERROR(H13/F13,0)</f>
        <v/>
      </c>
      <c r="J13" s="46">
        <f>SUM(H13+66+'9 Dec - 15 Dec'!H13+'16 Dec - 22 Dec'!H13)</f>
        <v/>
      </c>
      <c r="K13" s="172">
        <f>IFERROR(J13/SUM(F13),0)</f>
        <v/>
      </c>
      <c r="L13" s="188" t="n">
        <v>26571.83</v>
      </c>
      <c r="M13" s="89">
        <f>SUM(L13/D13)</f>
        <v/>
      </c>
      <c r="N13" s="130" t="n">
        <v>8454</v>
      </c>
      <c r="O13" s="26" t="n"/>
    </row>
    <row r="14" hidden="1" ht="15.6" customHeight="1">
      <c r="A14" s="198" t="inlineStr">
        <is>
          <t>Wellington</t>
        </is>
      </c>
      <c r="B14" s="200">
        <f>'16 Dec - 22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'16 Dec - 22 Dec'!D15</f>
        <v/>
      </c>
      <c r="C15" s="73" t="n">
        <v>849629.22</v>
      </c>
      <c r="D15" s="145" t="n">
        <v>845642.47</v>
      </c>
      <c r="E15" s="163">
        <f>IFERROR((SUM(D15-C15)/C15),0)</f>
        <v/>
      </c>
      <c r="F15" s="166" t="n">
        <v>7419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Dec'!H15)</f>
        <v/>
      </c>
      <c r="K15" s="172">
        <f>IFERROR(J15/SUM(F15),0)</f>
        <v/>
      </c>
      <c r="L15" s="188" t="n">
        <v>47903.83</v>
      </c>
      <c r="M15" s="89">
        <f>SUM(L15/D15)</f>
        <v/>
      </c>
      <c r="N15" s="130" t="n">
        <v>38400.3</v>
      </c>
      <c r="O15" s="9" t="n"/>
    </row>
    <row r="16" ht="15.6" customHeight="1">
      <c r="A16" s="198" t="inlineStr">
        <is>
          <t>Kyalami Corner</t>
        </is>
      </c>
      <c r="B16" s="200">
        <f>'16 Dec - 22 Dec'!D16</f>
        <v/>
      </c>
      <c r="C16" s="73" t="n">
        <v>88647.83</v>
      </c>
      <c r="D16" s="145" t="n">
        <v>72195.61</v>
      </c>
      <c r="E16" s="163">
        <f>IFERROR((SUM(D16-C16)/C16),0)</f>
        <v/>
      </c>
      <c r="F16" s="166" t="n">
        <v>466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Dec'!H16)</f>
        <v/>
      </c>
      <c r="K16" s="172">
        <f>IFERROR(J16/SUM(F16),0)</f>
        <v/>
      </c>
      <c r="L16" s="188" t="n">
        <v>16267.09</v>
      </c>
      <c r="M16" s="89">
        <f>SUM(L16/D16)</f>
        <v/>
      </c>
      <c r="N16" s="130" t="n">
        <v>4646</v>
      </c>
      <c r="O16" s="9" t="n"/>
    </row>
    <row r="17" ht="15.6" customHeight="1">
      <c r="A17" s="198" t="inlineStr">
        <is>
          <t>Paulshof</t>
        </is>
      </c>
      <c r="B17" s="200">
        <f>'16 Dec - 22 Dec'!D17</f>
        <v/>
      </c>
      <c r="C17" s="73" t="n">
        <v>113962.71</v>
      </c>
      <c r="D17" s="145" t="n">
        <v>123472.58</v>
      </c>
      <c r="E17" s="163">
        <f>IFERROR((SUM(D17-C17)/C17),0)</f>
        <v/>
      </c>
      <c r="F17" s="166" t="n">
        <v>781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Dec'!H17)</f>
        <v/>
      </c>
      <c r="K17" s="172">
        <f>IFERROR(J17/SUM(F17),0)</f>
        <v/>
      </c>
      <c r="L17" s="188" t="n">
        <v>18407.57</v>
      </c>
      <c r="M17" s="89">
        <f>SUM(L17/D17)</f>
        <v/>
      </c>
      <c r="N17" s="130" t="n">
        <v>5998.8</v>
      </c>
      <c r="O17" s="9" t="n"/>
    </row>
    <row r="18" ht="15.6" customHeight="1">
      <c r="A18" s="198" t="inlineStr">
        <is>
          <t>Queenswood</t>
        </is>
      </c>
      <c r="B18" s="200">
        <f>'16 Dec - 22 Dec'!D18</f>
        <v/>
      </c>
      <c r="C18" s="73" t="n"/>
      <c r="D18" s="145" t="n">
        <v>133520.31</v>
      </c>
      <c r="E18" s="163">
        <f>IFERROR((SUM(D18-C18)/C18),0)</f>
        <v/>
      </c>
      <c r="F18" s="166" t="n">
        <v>983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Dec'!H18)</f>
        <v/>
      </c>
      <c r="K18" s="172">
        <f>IFERROR(J18/SUM(F18),0)</f>
        <v/>
      </c>
      <c r="L18" s="188" t="n">
        <v>18942.35</v>
      </c>
      <c r="M18" s="89">
        <f>SUM(L18/D18)</f>
        <v/>
      </c>
      <c r="N18" s="130" t="n">
        <v>2009.9</v>
      </c>
      <c r="O18" s="9" t="n"/>
    </row>
    <row r="19" ht="16.2" customHeight="1" thickBot="1">
      <c r="A19" s="203" t="inlineStr">
        <is>
          <t>Centurion</t>
        </is>
      </c>
      <c r="B19" s="204">
        <f>'9 Dec - 15 Dec'!D19</f>
        <v/>
      </c>
      <c r="C19" s="205" t="n"/>
      <c r="D19" s="206" t="n">
        <v>86742.74000000001</v>
      </c>
      <c r="E19" s="207">
        <f>IFERROR((SUM(D19-C19)/C19),0)</f>
        <v/>
      </c>
      <c r="F19" s="208" t="n">
        <v>941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</f>
        <v/>
      </c>
      <c r="K19" s="213">
        <f>IFERROR(J19/SUM(F19),0)</f>
        <v/>
      </c>
      <c r="L19" s="214" t="n">
        <v>4920.43</v>
      </c>
      <c r="M19" s="215">
        <f>SUM(L19/D19)</f>
        <v/>
      </c>
      <c r="N19" s="216" t="n">
        <v>9318.5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152">
        <f>IFERROR((SUM(D4-C4)/C4),0)</f>
        <v/>
      </c>
      <c r="F4" s="147">
        <f>SUM(F6:F19)</f>
        <v/>
      </c>
      <c r="G4" s="136">
        <f>AVERAGE(G5:G19)</f>
        <v/>
      </c>
      <c r="H4" s="137">
        <f>SUM(H6:H19)</f>
        <v/>
      </c>
      <c r="I4" s="138">
        <f>IFERROR(H4/F4,0)</f>
        <v/>
      </c>
      <c r="J4" s="139">
        <f>SUM(J6:J19)</f>
        <v/>
      </c>
      <c r="K4" s="140">
        <f>IFERROR(J4/SUM(F4),0)</f>
        <v/>
      </c>
      <c r="L4" s="186" t="n"/>
      <c r="M4" s="140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'23 Dec - 29 Dec'!D6</f>
        <v/>
      </c>
      <c r="C6" s="123" t="n">
        <v>325096.33</v>
      </c>
      <c r="D6" s="197" t="n">
        <v>276666.88</v>
      </c>
      <c r="E6" s="162">
        <f>IFERROR((SUM(D6-C6)/C6),0)</f>
        <v/>
      </c>
      <c r="F6" s="165" t="n">
        <v>2300</v>
      </c>
      <c r="G6" s="124">
        <f>IFERROR(D6/F6,0)</f>
        <v/>
      </c>
      <c r="H6" s="125" t="n">
        <v>14</v>
      </c>
      <c r="I6" s="168">
        <f>IFERROR(H6/F6,0)</f>
        <v/>
      </c>
      <c r="J6" s="46">
        <f>SUM(109+H6+'9 Dec - 15 Dec'!H6+'16 Dec - 22 Dec'!H6+'23 Dec - 29 Dec'!H6)</f>
        <v/>
      </c>
      <c r="K6" s="171">
        <f>IFERROR(J6/SUM(F6),0)</f>
        <v/>
      </c>
      <c r="L6" s="191" t="n">
        <v>27562.74</v>
      </c>
      <c r="M6" s="128">
        <f>SUM(L6/D6)</f>
        <v/>
      </c>
      <c r="N6" s="129" t="n">
        <v>10895.8</v>
      </c>
      <c r="O6" s="26" t="n"/>
    </row>
    <row r="7" ht="15.6" customHeight="1">
      <c r="A7" s="409" t="inlineStr">
        <is>
          <t>Melrose Arch</t>
        </is>
      </c>
      <c r="B7" s="200">
        <f>'23 Dec - 29 Dec'!D7</f>
        <v/>
      </c>
      <c r="C7" s="73" t="n">
        <v>157885.87</v>
      </c>
      <c r="D7" s="145" t="n">
        <v>266740.18</v>
      </c>
      <c r="E7" s="163">
        <f>IFERROR((SUM(D7-C7)/C7),0)</f>
        <v/>
      </c>
      <c r="F7" s="166" t="n">
        <v>1864</v>
      </c>
      <c r="G7" s="63">
        <f>IFERROR(D7/F7,0)</f>
        <v/>
      </c>
      <c r="H7" s="61" t="n">
        <v>7</v>
      </c>
      <c r="I7" s="169">
        <f>IFERROR(H7/F7,0)</f>
        <v/>
      </c>
      <c r="J7" s="46">
        <f>SUM(H7+153+'9 Dec - 15 Dec'!H7+'16 Dec - 22 Dec'!H7+'23 Dec - 29 Dec'!H7)</f>
        <v/>
      </c>
      <c r="K7" s="172">
        <f>IFERROR(J7/SUM(F7),0)</f>
        <v/>
      </c>
      <c r="L7" s="188" t="n">
        <v>20850.74</v>
      </c>
      <c r="M7" s="89">
        <f>SUM(L7/D7)</f>
        <v/>
      </c>
      <c r="N7" s="130" t="n">
        <v>21169.91</v>
      </c>
      <c r="O7" s="26" t="n"/>
    </row>
    <row r="8" ht="15.6" customHeight="1">
      <c r="A8" s="409" t="inlineStr">
        <is>
          <t>Melville</t>
        </is>
      </c>
      <c r="B8" s="200">
        <f>'23 Dec - 29 Dec'!D8</f>
        <v/>
      </c>
      <c r="C8" s="73" t="n">
        <v>90111.39999999999</v>
      </c>
      <c r="D8" s="145" t="n">
        <v>67999.53</v>
      </c>
      <c r="E8" s="163">
        <f>IFERROR((SUM(D8-C8)/C8),0)</f>
        <v/>
      </c>
      <c r="F8" s="166" t="n">
        <v>449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Dec'!H8)</f>
        <v/>
      </c>
      <c r="K8" s="172">
        <f>IFERROR(J8/SUM(F8),0)</f>
        <v/>
      </c>
      <c r="L8" s="188" t="n">
        <v>22247.87</v>
      </c>
      <c r="M8" s="89">
        <f>SUM(L8/D8)</f>
        <v/>
      </c>
      <c r="N8" s="130" t="n">
        <v>2365</v>
      </c>
      <c r="O8" s="26" t="n"/>
    </row>
    <row r="9" ht="15.6" customHeight="1">
      <c r="A9" s="409" t="inlineStr">
        <is>
          <t>Rosebank</t>
        </is>
      </c>
      <c r="B9" s="200">
        <f>'23 Dec - 29 Dec'!D9</f>
        <v/>
      </c>
      <c r="C9" s="73" t="n">
        <v>329855.35</v>
      </c>
      <c r="D9" s="145" t="n">
        <v>305260.75</v>
      </c>
      <c r="E9" s="163">
        <f>IFERROR((SUM(D9-C9)/C9),0)</f>
        <v/>
      </c>
      <c r="F9" s="166" t="n">
        <v>2452</v>
      </c>
      <c r="G9" s="63">
        <f>IFERROR(D9/F9,0)</f>
        <v/>
      </c>
      <c r="H9" s="61" t="n">
        <v>21</v>
      </c>
      <c r="I9" s="169">
        <f>IFERROR(H9/F9,0)</f>
        <v/>
      </c>
      <c r="J9" s="46">
        <f>SUM(H9+79+'9 Dec - 15 Dec'!H9+'16 Dec - 22 Dec'!H9+'23 Dec - 29 Dec'!H9)</f>
        <v/>
      </c>
      <c r="K9" s="172">
        <f>IFERROR(J9/SUM(F9),0)</f>
        <v/>
      </c>
      <c r="L9" s="188" t="n">
        <v>18792.9</v>
      </c>
      <c r="M9" s="89">
        <f>SUM(L9/D9)</f>
        <v/>
      </c>
      <c r="N9" s="130" t="n">
        <v>15650</v>
      </c>
      <c r="O9" s="26" t="n"/>
    </row>
    <row r="10" ht="15.6" customHeight="1">
      <c r="A10" s="409" t="inlineStr">
        <is>
          <t xml:space="preserve">Waterkloof </t>
        </is>
      </c>
      <c r="B10" s="200">
        <f>'23 Dec - 29 Dec'!D10</f>
        <v/>
      </c>
      <c r="C10" s="73" t="n">
        <v>114633.65</v>
      </c>
      <c r="D10" s="145" t="n">
        <v>112210.71</v>
      </c>
      <c r="E10" s="163">
        <f>IFERROR((SUM(D10-C10)/C10),0)</f>
        <v/>
      </c>
      <c r="F10" s="166" t="n">
        <v>741</v>
      </c>
      <c r="G10" s="63">
        <f>IFERROR(D10/F10,0)</f>
        <v/>
      </c>
      <c r="H10" s="61" t="n">
        <v>11</v>
      </c>
      <c r="I10" s="169">
        <f>IFERROR(H10/F10,0)</f>
        <v/>
      </c>
      <c r="J10" s="46">
        <f>SUM(H10+130+'9 Dec - 15 Dec'!H10+'16 Dec - 22 Dec'!H10+'23 Dec - 29 Dec'!H10)</f>
        <v/>
      </c>
      <c r="K10" s="172">
        <f>IFERROR(J10/SUM(F10),0)</f>
        <v/>
      </c>
      <c r="L10" s="188" t="n">
        <v>29344.35</v>
      </c>
      <c r="M10" s="89">
        <f>SUM(L10/D10)</f>
        <v/>
      </c>
      <c r="N10" s="130" t="n">
        <v>6072.1</v>
      </c>
      <c r="O10" s="26" t="n"/>
    </row>
    <row r="11" ht="15.6" customHeight="1">
      <c r="A11" s="409" t="inlineStr">
        <is>
          <t>Eagles Landing</t>
        </is>
      </c>
      <c r="B11" s="200">
        <f>'23 Dec - 29 Dec'!D11</f>
        <v/>
      </c>
      <c r="C11" s="73" t="n">
        <v>228405.1</v>
      </c>
      <c r="D11" s="145" t="n">
        <v>259688.15</v>
      </c>
      <c r="E11" s="163">
        <f>IFERROR((SUM(D11-C11)/C11),0)</f>
        <v/>
      </c>
      <c r="F11" s="166" t="n">
        <v>1658</v>
      </c>
      <c r="G11" s="63">
        <f>IFERROR(D11/F11,0)</f>
        <v/>
      </c>
      <c r="H11" s="61" t="n">
        <v>7</v>
      </c>
      <c r="I11" s="169">
        <f>IFERROR(H11/F11,0)</f>
        <v/>
      </c>
      <c r="J11" s="46">
        <f>SUM(H11+123+'9 Dec - 15 Dec'!H11+'16 Dec - 22 Dec'!H11+'23 Dec - 29 Dec'!H11)</f>
        <v/>
      </c>
      <c r="K11" s="172">
        <f>IFERROR(J11/SUM(F11),0)</f>
        <v/>
      </c>
      <c r="L11" s="188" t="n">
        <v>41361.22</v>
      </c>
      <c r="M11" s="89">
        <f>SUM(L11/D11)</f>
        <v/>
      </c>
      <c r="N11" s="130" t="n">
        <v>18883</v>
      </c>
      <c r="O11" s="26" t="n"/>
    </row>
    <row r="12" ht="15.6" customHeight="1">
      <c r="A12" s="198" t="inlineStr">
        <is>
          <t>Stellenbosch</t>
        </is>
      </c>
      <c r="B12" s="200">
        <f>'23 Dec - 29 Dec'!D12</f>
        <v/>
      </c>
      <c r="C12" s="73" t="n">
        <v>133751.79</v>
      </c>
      <c r="D12" s="145" t="n">
        <v>172759.05</v>
      </c>
      <c r="E12" s="163">
        <f>IFERROR((SUM(D12-C12)/C12),0)</f>
        <v/>
      </c>
      <c r="F12" s="166" t="n">
        <v>1305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Dec'!H12)</f>
        <v/>
      </c>
      <c r="K12" s="172">
        <f>IFERROR(J12/SUM(F12),0)</f>
        <v/>
      </c>
      <c r="L12" s="188" t="n">
        <v>23952.09</v>
      </c>
      <c r="M12" s="89">
        <f>SUM(L12/D12)</f>
        <v/>
      </c>
      <c r="N12" s="130" t="n">
        <v>14266.1</v>
      </c>
      <c r="O12" s="26" t="n"/>
    </row>
    <row r="13" ht="15.6" customHeight="1">
      <c r="A13" s="198" t="inlineStr">
        <is>
          <t>Lynnwood</t>
        </is>
      </c>
      <c r="B13" s="200">
        <f>'23 Dec - 29 Dec'!D13</f>
        <v/>
      </c>
      <c r="C13" s="73" t="n">
        <v>185171.07</v>
      </c>
      <c r="D13" s="145" t="n">
        <v>155712.35</v>
      </c>
      <c r="E13" s="163">
        <f>IFERROR((SUM(D13-C13)/C13),0)</f>
        <v/>
      </c>
      <c r="F13" s="166" t="n">
        <v>1133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Dec'!H13)</f>
        <v/>
      </c>
      <c r="K13" s="172">
        <f>IFERROR(J13/SUM(F13),0)</f>
        <v/>
      </c>
      <c r="L13" s="188" t="n">
        <v>24317.65</v>
      </c>
      <c r="M13" s="89">
        <f>SUM(L13/D13)</f>
        <v/>
      </c>
      <c r="N13" s="130" t="n">
        <v>9582.84</v>
      </c>
      <c r="O13" s="26" t="n"/>
    </row>
    <row r="14" hidden="1" ht="15.6" customHeight="1">
      <c r="A14" s="198" t="inlineStr">
        <is>
          <t>Wellington</t>
        </is>
      </c>
      <c r="B14" s="200">
        <f>'23 Dec - 29 Dec'!D14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'23 Dec - 29 Dec'!D15</f>
        <v/>
      </c>
      <c r="C15" s="73" t="n">
        <v>730769.9300000001</v>
      </c>
      <c r="D15" s="145" t="n">
        <v>877892.3100000001</v>
      </c>
      <c r="E15" s="163">
        <f>IFERROR((SUM(D15-C15)/C15),0)</f>
        <v/>
      </c>
      <c r="F15" s="166" t="n">
        <v>6909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Dec'!H15)</f>
        <v/>
      </c>
      <c r="K15" s="172">
        <f>IFERROR(J15/SUM(F15),0)</f>
        <v/>
      </c>
      <c r="L15" s="188" t="n">
        <v>54580.43</v>
      </c>
      <c r="M15" s="89">
        <f>SUM(L15/D15)</f>
        <v/>
      </c>
      <c r="N15" s="130" t="n">
        <v>24133.95</v>
      </c>
      <c r="O15" s="9" t="n"/>
    </row>
    <row r="16" ht="15.6" customHeight="1">
      <c r="A16" s="198" t="inlineStr">
        <is>
          <t>Kyalami Corner</t>
        </is>
      </c>
      <c r="B16" s="200">
        <f>'23 Dec - 29 Dec'!D16</f>
        <v/>
      </c>
      <c r="C16" s="73" t="n">
        <v>96083.84</v>
      </c>
      <c r="D16" s="145" t="n">
        <v>104178.02</v>
      </c>
      <c r="E16" s="163">
        <f>IFERROR((SUM(D16-C16)/C16),0)</f>
        <v/>
      </c>
      <c r="F16" s="166" t="n">
        <v>747</v>
      </c>
      <c r="G16" s="63">
        <f>IFERROR(D16/F16,0)</f>
        <v/>
      </c>
      <c r="H16" s="61" t="n">
        <v>6</v>
      </c>
      <c r="I16" s="169">
        <f>IFERROR(H16/F16,0)</f>
        <v/>
      </c>
      <c r="J16" s="46">
        <f>SUM(H16+67+'9 Dec - 15 Dec'!H16+'16 Dec - 22 Dec'!H16+'23 Dec - 29 Dec'!H16)</f>
        <v/>
      </c>
      <c r="K16" s="172">
        <f>IFERROR(J16/SUM(F16),0)</f>
        <v/>
      </c>
      <c r="L16" s="188" t="n">
        <v>19094.9</v>
      </c>
      <c r="M16" s="89">
        <f>SUM(L16/D16)</f>
        <v/>
      </c>
      <c r="N16" s="130" t="n">
        <v>10407</v>
      </c>
      <c r="O16" s="9" t="n"/>
    </row>
    <row r="17" ht="15.6" customHeight="1">
      <c r="A17" s="198" t="inlineStr">
        <is>
          <t>Paulshof</t>
        </is>
      </c>
      <c r="B17" s="200">
        <f>'23 Dec - 29 Dec'!D17</f>
        <v/>
      </c>
      <c r="C17" s="73" t="n">
        <v>133382.21</v>
      </c>
      <c r="D17" s="145" t="n">
        <v>153893.73</v>
      </c>
      <c r="E17" s="163">
        <f>IFERROR((SUM(D17-C17)/C17),0)</f>
        <v/>
      </c>
      <c r="F17" s="166" t="n">
        <v>1018</v>
      </c>
      <c r="G17" s="63">
        <f>IFERROR(D17/F17,0)</f>
        <v/>
      </c>
      <c r="H17" s="61" t="n">
        <v>4</v>
      </c>
      <c r="I17" s="169">
        <f>IFERROR(H17/F17,0)</f>
        <v/>
      </c>
      <c r="J17" s="46">
        <f>SUM(H17+61+'9 Dec - 15 Dec'!H17+'16 Dec - 22 Dec'!H17+'23 Dec - 29 Dec'!H17)</f>
        <v/>
      </c>
      <c r="K17" s="172">
        <f>IFERROR(J17/SUM(F17),0)</f>
        <v/>
      </c>
      <c r="L17" s="188" t="n">
        <v>25295.39</v>
      </c>
      <c r="M17" s="89">
        <f>SUM(L17/D17)</f>
        <v/>
      </c>
      <c r="N17" s="130" t="n">
        <v>10212.3</v>
      </c>
      <c r="O17" s="9" t="n"/>
    </row>
    <row r="18" ht="15.6" customHeight="1">
      <c r="A18" s="198" t="inlineStr">
        <is>
          <t>Queenswood</t>
        </is>
      </c>
      <c r="B18" s="200">
        <f>'23 Dec - 29 Dec'!D18</f>
        <v/>
      </c>
      <c r="C18" s="73" t="n"/>
      <c r="D18" s="145" t="n">
        <v>194529.92</v>
      </c>
      <c r="E18" s="163">
        <f>IFERROR((SUM(D18-C18)/C18),0)</f>
        <v/>
      </c>
      <c r="F18" s="166" t="n">
        <v>1520</v>
      </c>
      <c r="G18" s="63">
        <f>IFERROR(D18/F18,0)</f>
        <v/>
      </c>
      <c r="H18" s="61" t="n">
        <v>9</v>
      </c>
      <c r="I18" s="169">
        <f>IFERROR(H18/F18,0)</f>
        <v/>
      </c>
      <c r="J18" s="46">
        <f>SUM(H18+158+'9 Dec - 15 Dec'!H18+'16 Dec - 22 Dec'!H18+'23 Dec - 29 Dec'!H18)</f>
        <v/>
      </c>
      <c r="K18" s="172">
        <f>IFERROR(J18/SUM(F18),0)</f>
        <v/>
      </c>
      <c r="L18" s="188" t="n">
        <v>32168.43</v>
      </c>
      <c r="M18" s="89">
        <f>SUM(L18/D18)</f>
        <v/>
      </c>
      <c r="N18" s="130" t="n">
        <v>2888</v>
      </c>
      <c r="O18" s="9" t="n"/>
    </row>
    <row r="19" ht="16.2" customHeight="1" thickBot="1">
      <c r="A19" s="203" t="inlineStr">
        <is>
          <t>Centurion</t>
        </is>
      </c>
      <c r="B19" s="201">
        <f>'23 Dec - 29 Dec'!D19</f>
        <v/>
      </c>
      <c r="C19" s="205" t="n"/>
      <c r="D19" s="206" t="n">
        <v>101456.16</v>
      </c>
      <c r="E19" s="207">
        <f>IFERROR((SUM(D19-C19)/C19),0)</f>
        <v/>
      </c>
      <c r="F19" s="208" t="n">
        <v>1377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</f>
        <v/>
      </c>
      <c r="K19" s="213">
        <f>IFERROR(J19/SUM(F19),0)</f>
        <v/>
      </c>
      <c r="L19" s="214" t="n">
        <v>5176.96</v>
      </c>
      <c r="M19" s="215">
        <f>SUM(L19/D19)</f>
        <v/>
      </c>
      <c r="N19" s="216" t="n">
        <v>11867.9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'30 Dec - 5 Jan'!D6</f>
        <v/>
      </c>
      <c r="C6" s="123" t="n">
        <v>282462.92</v>
      </c>
      <c r="D6" s="197" t="n">
        <v>296675.38</v>
      </c>
      <c r="E6" s="162">
        <f>IFERROR((SUM(D6-C6)/C6),0)</f>
        <v/>
      </c>
      <c r="F6" s="165" t="n">
        <v>2865</v>
      </c>
      <c r="G6" s="124">
        <f>IFERROR(D6/F6,0)</f>
        <v/>
      </c>
      <c r="H6" s="125" t="n">
        <v>15</v>
      </c>
      <c r="I6" s="168">
        <f>IFERROR(H6/F6,0)</f>
        <v/>
      </c>
      <c r="J6" s="46">
        <f>SUM(109+H6+'9 Dec - 15 Dec'!H6+'16 Dec - 22 Dec'!H6+'23 Dec - 29 Dec'!H6+'30 Dec - 5 Jan'!H6)</f>
        <v/>
      </c>
      <c r="K6" s="171">
        <f>IFERROR(J6/SUM(F6),0)</f>
        <v/>
      </c>
      <c r="L6" s="191" t="n">
        <v>31630.91</v>
      </c>
      <c r="M6" s="128">
        <f>SUM(L6/D6)</f>
        <v/>
      </c>
      <c r="N6" s="129" t="n">
        <v>16012.95</v>
      </c>
      <c r="O6" s="26" t="n"/>
    </row>
    <row r="7" ht="15.6" customHeight="1">
      <c r="A7" s="409" t="inlineStr">
        <is>
          <t>Melrose Arch</t>
        </is>
      </c>
      <c r="B7" s="200">
        <f>'30 Dec - 5 Jan'!D7</f>
        <v/>
      </c>
      <c r="C7" s="73" t="n">
        <v>167793.48</v>
      </c>
      <c r="D7" s="145" t="n">
        <v>198130.76</v>
      </c>
      <c r="E7" s="163">
        <f>IFERROR((SUM(D7-C7)/C7),0)</f>
        <v/>
      </c>
      <c r="F7" s="166" t="n">
        <v>1946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Jan'!H7)</f>
        <v/>
      </c>
      <c r="K7" s="172">
        <f>IFERROR(J7/SUM(F7),0)</f>
        <v/>
      </c>
      <c r="L7" s="188" t="n">
        <v>22149.57</v>
      </c>
      <c r="M7" s="89">
        <f>SUM(L7/D7)</f>
        <v/>
      </c>
      <c r="N7" s="130" t="n">
        <v>13434.75</v>
      </c>
      <c r="O7" s="26" t="n"/>
    </row>
    <row r="8" ht="15.6" customHeight="1">
      <c r="A8" s="409" t="inlineStr">
        <is>
          <t>Melville</t>
        </is>
      </c>
      <c r="B8" s="200">
        <f>'30 Dec - 5 Jan'!D8</f>
        <v/>
      </c>
      <c r="C8" s="73" t="n">
        <v>82899.22</v>
      </c>
      <c r="D8" s="145" t="n">
        <v>81968.13</v>
      </c>
      <c r="E8" s="163">
        <f>IFERROR((SUM(D8-C8)/C8),0)</f>
        <v/>
      </c>
      <c r="F8" s="166" t="n">
        <v>567</v>
      </c>
      <c r="G8" s="63">
        <f>IFERROR(D8/F8,0)</f>
        <v/>
      </c>
      <c r="H8" s="61" t="n">
        <v>7</v>
      </c>
      <c r="I8" s="169">
        <f>IFERROR(H8/F8,0)</f>
        <v/>
      </c>
      <c r="J8" s="46">
        <f>SUM(H8+12+'9 Dec - 15 Dec'!H8+'16 Dec - 22 Dec'!H8+'23 Dec - 29 Dec'!H8+'30 Dec - 5 Jan'!H8)</f>
        <v/>
      </c>
      <c r="K8" s="172">
        <f>IFERROR(J8/SUM(F8),0)</f>
        <v/>
      </c>
      <c r="L8" s="188" t="n">
        <v>23555.65</v>
      </c>
      <c r="M8" s="89">
        <f>SUM(L8/D8)</f>
        <v/>
      </c>
      <c r="N8" s="130" t="n">
        <v>2741</v>
      </c>
      <c r="O8" s="26" t="n"/>
    </row>
    <row r="9" ht="15.6" customHeight="1">
      <c r="A9" s="409" t="inlineStr">
        <is>
          <t>Rosebank</t>
        </is>
      </c>
      <c r="B9" s="200">
        <f>'30 Dec - 5 Jan'!D9</f>
        <v/>
      </c>
      <c r="C9" s="73" t="n">
        <v>317910.26</v>
      </c>
      <c r="D9" s="145" t="n">
        <v>287972.86</v>
      </c>
      <c r="E9" s="163">
        <f>IFERROR((SUM(D9-C9)/C9),0)</f>
        <v/>
      </c>
      <c r="F9" s="166" t="n">
        <v>2237</v>
      </c>
      <c r="G9" s="63">
        <f>IFERROR(D9/F9,0)</f>
        <v/>
      </c>
      <c r="H9" s="61" t="n">
        <v>14</v>
      </c>
      <c r="I9" s="169">
        <f>IFERROR(H9/F9,0)</f>
        <v/>
      </c>
      <c r="J9" s="46">
        <f>SUM(H9+79+'9 Dec - 15 Dec'!H9+'16 Dec - 22 Dec'!H9+'23 Dec - 29 Dec'!H9+'30 Dec - 5 Jan'!H9)</f>
        <v/>
      </c>
      <c r="K9" s="172">
        <f>IFERROR(J9/SUM(F9),0)</f>
        <v/>
      </c>
      <c r="L9" s="188" t="n">
        <v>20551.89</v>
      </c>
      <c r="M9" s="89">
        <f>SUM(L9/D9)</f>
        <v/>
      </c>
      <c r="N9" s="130" t="n">
        <v>13774.1</v>
      </c>
      <c r="O9" s="26" t="n"/>
    </row>
    <row r="10" ht="15.6" customHeight="1">
      <c r="A10" s="409" t="inlineStr">
        <is>
          <t xml:space="preserve">Waterkloof </t>
        </is>
      </c>
      <c r="B10" s="200">
        <f>'30 Dec - 5 Jan'!D10</f>
        <v/>
      </c>
      <c r="C10" s="73" t="n">
        <v>135753.02</v>
      </c>
      <c r="D10" s="145" t="n">
        <v>132580.56</v>
      </c>
      <c r="E10" s="163">
        <f>IFERROR((SUM(D10-C10)/C10),0)</f>
        <v/>
      </c>
      <c r="F10" s="166" t="n">
        <v>943</v>
      </c>
      <c r="G10" s="63">
        <f>IFERROR(D10/F10,0)</f>
        <v/>
      </c>
      <c r="H10" s="61" t="n">
        <v>28</v>
      </c>
      <c r="I10" s="169">
        <f>IFERROR(H10/F10,0)</f>
        <v/>
      </c>
      <c r="J10" s="46">
        <f>SUM(H10+130+'9 Dec - 15 Dec'!H10+'16 Dec - 22 Dec'!H10+'23 Dec - 29 Dec'!H10+'30 Dec - 5 Jan'!H10)</f>
        <v/>
      </c>
      <c r="K10" s="172">
        <f>IFERROR(J10/SUM(F10),0)</f>
        <v/>
      </c>
      <c r="L10" s="188" t="n">
        <v>33120.04</v>
      </c>
      <c r="M10" s="89">
        <f>SUM(L10/D10)</f>
        <v/>
      </c>
      <c r="N10" s="130" t="n">
        <v>10966.3</v>
      </c>
      <c r="O10" s="26" t="n"/>
    </row>
    <row r="11" ht="15.6" customHeight="1">
      <c r="A11" s="409" t="inlineStr">
        <is>
          <t>Eagles Landing</t>
        </is>
      </c>
      <c r="B11" s="200">
        <f>'30 Dec - 5 Jan'!D11</f>
        <v/>
      </c>
      <c r="C11" s="73" t="n">
        <v>320006.2</v>
      </c>
      <c r="D11" s="145" t="n">
        <v>330215.89</v>
      </c>
      <c r="E11" s="163">
        <f>IFERROR((SUM(D11-C11)/C11),0)</f>
        <v/>
      </c>
      <c r="F11" s="166" t="n">
        <v>2095</v>
      </c>
      <c r="G11" s="63">
        <f>IFERROR(D11/F11,0)</f>
        <v/>
      </c>
      <c r="H11" s="61" t="n">
        <v>58</v>
      </c>
      <c r="I11" s="169">
        <f>IFERROR(H11/F11,0)</f>
        <v/>
      </c>
      <c r="J11" s="46">
        <f>SUM(H11+123+'9 Dec - 15 Dec'!H11+'16 Dec - 22 Dec'!H11+'23 Dec - 29 Dec'!H11+'30 Dec - 5 Jan'!H11)</f>
        <v/>
      </c>
      <c r="K11" s="172">
        <f>IFERROR(J11/SUM(F11),0)</f>
        <v/>
      </c>
      <c r="L11" s="188" t="n">
        <v>45956.52</v>
      </c>
      <c r="M11" s="89">
        <f>SUM(L11/D11)</f>
        <v/>
      </c>
      <c r="N11" s="130" t="n">
        <v>18237.9</v>
      </c>
      <c r="O11" s="26" t="n"/>
    </row>
    <row r="12" ht="15.6" customHeight="1">
      <c r="A12" s="198" t="inlineStr">
        <is>
          <t>Stellenbosch</t>
        </is>
      </c>
      <c r="B12" s="200">
        <f>'30 Dec - 5 Jan'!D12</f>
        <v/>
      </c>
      <c r="C12" s="73" t="n">
        <v>138417.91</v>
      </c>
      <c r="D12" s="145" t="n">
        <v>132864.84</v>
      </c>
      <c r="E12" s="163">
        <f>IFERROR((SUM(D12-C12)/C12),0)</f>
        <v/>
      </c>
      <c r="F12" s="166" t="n">
        <v>1052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Jan'!H12)</f>
        <v/>
      </c>
      <c r="K12" s="172">
        <f>IFERROR(J12/SUM(F12),0)</f>
        <v/>
      </c>
      <c r="L12" s="188" t="n">
        <v>18924.78</v>
      </c>
      <c r="M12" s="89">
        <f>SUM(L12/D12)</f>
        <v/>
      </c>
      <c r="N12" s="130" t="n">
        <v>10099</v>
      </c>
      <c r="O12" s="26" t="n"/>
    </row>
    <row r="13" ht="15.6" customHeight="1">
      <c r="A13" s="198" t="inlineStr">
        <is>
          <t>Lynnwood</t>
        </is>
      </c>
      <c r="B13" s="200">
        <f>'30 Dec - 5 Jan'!D13</f>
        <v/>
      </c>
      <c r="C13" s="73" t="n">
        <v>219380.24</v>
      </c>
      <c r="D13" s="145" t="n">
        <v>219689.71</v>
      </c>
      <c r="E13" s="163">
        <f>IFERROR((SUM(D13-C13)/C13),0)</f>
        <v/>
      </c>
      <c r="F13" s="166" t="n">
        <v>1561</v>
      </c>
      <c r="G13" s="63">
        <f>IFERROR(D13/F13,0)</f>
        <v/>
      </c>
      <c r="H13" s="61" t="n">
        <v>2</v>
      </c>
      <c r="I13" s="169">
        <f>IFERROR(H13/F13,0)</f>
        <v/>
      </c>
      <c r="J13" s="46">
        <f>SUM(H13+66+'9 Dec - 15 Dec'!H13+'16 Dec - 22 Dec'!H13+'23 Dec - 29 Dec'!H13+'30 Dec - 5 Jan'!H13)</f>
        <v/>
      </c>
      <c r="K13" s="172">
        <f>IFERROR(J13/SUM(F13),0)</f>
        <v/>
      </c>
      <c r="L13" s="188" t="n">
        <v>32114.17</v>
      </c>
      <c r="M13" s="89">
        <f>SUM(L13/D13)</f>
        <v/>
      </c>
      <c r="N13" s="130" t="n">
        <v>13110.5</v>
      </c>
      <c r="O13" s="26" t="n"/>
    </row>
    <row r="14" hidden="1" ht="15.6" customHeight="1">
      <c r="A14" s="198" t="inlineStr">
        <is>
          <t>Wellington</t>
        </is>
      </c>
      <c r="B14" s="200">
        <f>'30 Dec - 5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'30 Dec - 5 Jan'!D15</f>
        <v/>
      </c>
      <c r="C15" s="73" t="n">
        <v>260614.2</v>
      </c>
      <c r="D15" s="145" t="n">
        <v>440887.85</v>
      </c>
      <c r="E15" s="163">
        <f>IFERROR((SUM(D15-C15)/C15),0)</f>
        <v/>
      </c>
      <c r="F15" s="166" t="n">
        <v>3581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Jan'!H15)</f>
        <v/>
      </c>
      <c r="K15" s="172">
        <f>IFERROR(J15/SUM(F15),0)</f>
        <v/>
      </c>
      <c r="L15" s="188" t="n">
        <v>27028.43</v>
      </c>
      <c r="M15" s="89">
        <f>SUM(L15/D15)</f>
        <v/>
      </c>
      <c r="N15" s="130" t="n">
        <v>12570.9</v>
      </c>
      <c r="O15" s="9" t="n"/>
    </row>
    <row r="16" ht="15.6" customHeight="1">
      <c r="A16" s="198" t="inlineStr">
        <is>
          <t>Kyalami Corner</t>
        </is>
      </c>
      <c r="B16" s="200">
        <f>'30 Dec - 5 Jan'!D16</f>
        <v/>
      </c>
      <c r="C16" s="73" t="n">
        <v>123295.01</v>
      </c>
      <c r="D16" s="145" t="n">
        <v>115805.88</v>
      </c>
      <c r="E16" s="163">
        <f>IFERROR((SUM(D16-C16)/C16),0)</f>
        <v/>
      </c>
      <c r="F16" s="166" t="n">
        <v>824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Jan'!H16)</f>
        <v/>
      </c>
      <c r="K16" s="172">
        <f>IFERROR(J16/SUM(F16),0)</f>
        <v/>
      </c>
      <c r="L16" s="188" t="n">
        <v>20599.09</v>
      </c>
      <c r="M16" s="89">
        <f>SUM(L16/D16)</f>
        <v/>
      </c>
      <c r="N16" s="130" t="n">
        <v>11635.5</v>
      </c>
      <c r="O16" s="9" t="n"/>
    </row>
    <row r="17" ht="15.6" customHeight="1">
      <c r="A17" s="198" t="inlineStr">
        <is>
          <t>Paulshof</t>
        </is>
      </c>
      <c r="B17" s="200">
        <f>'30 Dec - 5 Jan'!D17</f>
        <v/>
      </c>
      <c r="C17" s="73" t="n">
        <v>189563.77</v>
      </c>
      <c r="D17" s="145" t="n">
        <v>192938.39</v>
      </c>
      <c r="E17" s="163">
        <f>IFERROR((SUM(D17-C17)/C17),0)</f>
        <v/>
      </c>
      <c r="F17" s="166" t="n">
        <v>1283</v>
      </c>
      <c r="G17" s="63">
        <f>IFERROR(D17/F17,0)</f>
        <v/>
      </c>
      <c r="H17" s="61" t="n">
        <v>22</v>
      </c>
      <c r="I17" s="169">
        <f>IFERROR(H17/F17,0)</f>
        <v/>
      </c>
      <c r="J17" s="46">
        <f>SUM(H17+61+'9 Dec - 15 Dec'!H17+'16 Dec - 22 Dec'!H17+'23 Dec - 29 Dec'!H17+'30 Dec - 5 Jan'!H17)</f>
        <v/>
      </c>
      <c r="K17" s="172">
        <f>IFERROR(J17/SUM(F17),0)</f>
        <v/>
      </c>
      <c r="L17" s="188" t="n">
        <v>29456.13</v>
      </c>
      <c r="M17" s="89">
        <f>SUM(L17/D17)</f>
        <v/>
      </c>
      <c r="N17" s="130" t="n">
        <v>13923.4</v>
      </c>
      <c r="O17" s="9" t="n"/>
    </row>
    <row r="18" ht="15.6" customHeight="1">
      <c r="A18" s="198" t="inlineStr">
        <is>
          <t>Queenswood</t>
        </is>
      </c>
      <c r="B18" s="200">
        <f>'30 Dec - 5 Jan'!D18</f>
        <v/>
      </c>
      <c r="C18" s="73" t="n"/>
      <c r="D18" s="145" t="n">
        <v>176711.97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21</v>
      </c>
      <c r="I18" s="169">
        <f>IFERROR(H18/F18,0)</f>
        <v/>
      </c>
      <c r="J18" s="46">
        <f>SUM(H18+158+'9 Dec - 15 Dec'!H18+'16 Dec - 22 Dec'!H18+'23 Dec - 29 Dec'!H18+'30 Dec - 5 Jan'!H18)</f>
        <v/>
      </c>
      <c r="K18" s="172">
        <f>IFERROR(J18/SUM(F18),0)</f>
        <v/>
      </c>
      <c r="L18" s="188" t="n">
        <v>26477.84</v>
      </c>
      <c r="M18" s="89">
        <f>SUM(L18/D18)</f>
        <v/>
      </c>
      <c r="N18" s="130" t="n">
        <v>8326.5</v>
      </c>
      <c r="O18" s="9" t="n"/>
    </row>
    <row r="19" ht="16.2" customHeight="1" thickBot="1">
      <c r="A19" s="203" t="inlineStr">
        <is>
          <t>Centurion</t>
        </is>
      </c>
      <c r="B19" s="201">
        <f>'30 Dec - 5 Jan'!D19</f>
        <v/>
      </c>
      <c r="C19" s="205" t="n"/>
      <c r="D19" s="206" t="n">
        <v>107899.57</v>
      </c>
      <c r="E19" s="207">
        <f>IFERROR((SUM(D19-C19)/C19),0)</f>
        <v/>
      </c>
      <c r="F19" s="208" t="n">
        <v>1179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</f>
        <v/>
      </c>
      <c r="K19" s="213">
        <f>IFERROR(J19/SUM(F19),0)</f>
        <v/>
      </c>
      <c r="L19" s="214" t="n">
        <v>11866.04</v>
      </c>
      <c r="M19" s="215">
        <f>SUM(L19/D19)</f>
        <v/>
      </c>
      <c r="N19" s="216" t="n">
        <v>15704.2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'6 Jan - 12 Jan'!D6</f>
        <v/>
      </c>
      <c r="C6" s="123" t="n">
        <v>250408.15</v>
      </c>
      <c r="D6" s="197" t="n">
        <v>249678.67</v>
      </c>
      <c r="E6" s="162">
        <f>IFERROR((SUM(D6-C6)/C6),0)</f>
        <v/>
      </c>
      <c r="F6" s="165" t="n">
        <v>2590</v>
      </c>
      <c r="G6" s="124">
        <f>IFERROR(D6/F6,0)</f>
        <v/>
      </c>
      <c r="H6" s="125" t="n">
        <v>16</v>
      </c>
      <c r="I6" s="168">
        <f>IFERROR(H6/F6,0)</f>
        <v/>
      </c>
      <c r="J6" s="46">
        <f>SUM(109+H6+'9 Dec - 15 Dec'!H6+'16 Dec - 22 Dec'!H6+'23 Dec - 29 Dec'!H6+'30 Dec - 5 Jan'!H6+'6 Jan - 12 Jan'!H6)</f>
        <v/>
      </c>
      <c r="K6" s="171">
        <f>IFERROR(J6/SUM(F6),0)</f>
        <v/>
      </c>
      <c r="L6" s="191" t="n">
        <v>33625</v>
      </c>
      <c r="M6" s="128">
        <f>SUM(L6/D6)</f>
        <v/>
      </c>
      <c r="N6" s="129" t="n">
        <v>15281.4</v>
      </c>
      <c r="O6" s="26" t="n"/>
    </row>
    <row r="7" ht="15.6" customHeight="1">
      <c r="A7" s="409" t="inlineStr">
        <is>
          <t>Melrose Arch</t>
        </is>
      </c>
      <c r="B7" s="200">
        <f>'6 Jan - 12 Jan'!D7</f>
        <v/>
      </c>
      <c r="C7" s="73" t="n">
        <v>200795.26</v>
      </c>
      <c r="D7" s="145" t="n">
        <v>184174.36</v>
      </c>
      <c r="E7" s="163">
        <f>IFERROR((SUM(D7-C7)/C7),0)</f>
        <v/>
      </c>
      <c r="F7" s="166" t="n">
        <v>1342</v>
      </c>
      <c r="G7" s="63">
        <f>IFERROR(D7/F7,0)</f>
        <v/>
      </c>
      <c r="H7" s="61" t="n">
        <v>5</v>
      </c>
      <c r="I7" s="169">
        <f>IFERROR(H7/F7,0)</f>
        <v/>
      </c>
      <c r="J7" s="46">
        <f>SUM(H7+153+'9 Dec - 15 Dec'!H7+'16 Dec - 22 Dec'!H7+'23 Dec - 29 Dec'!H7+'30 Dec - 5 Jan'!H7+'6 Jan - 12 Jan'!H7)</f>
        <v/>
      </c>
      <c r="K7" s="172">
        <f>IFERROR(J7/SUM(F7),0)</f>
        <v/>
      </c>
      <c r="L7" s="188" t="n">
        <v>24165.61</v>
      </c>
      <c r="M7" s="89">
        <f>SUM(L7/D7)</f>
        <v/>
      </c>
      <c r="N7" s="130" t="n">
        <v>14198.45</v>
      </c>
      <c r="O7" s="26" t="n"/>
    </row>
    <row r="8" ht="15.6" customHeight="1">
      <c r="A8" s="409" t="inlineStr">
        <is>
          <t>Melville</t>
        </is>
      </c>
      <c r="B8" s="200">
        <f>'6 Jan - 12 Jan'!D8</f>
        <v/>
      </c>
      <c r="C8" s="73" t="n">
        <v>77975.73</v>
      </c>
      <c r="D8" s="145" t="n">
        <v>92094.41</v>
      </c>
      <c r="E8" s="163">
        <f>IFERROR((SUM(D8-C8)/C8),0)</f>
        <v/>
      </c>
      <c r="F8" s="166" t="n">
        <v>672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Jan'!H8)</f>
        <v/>
      </c>
      <c r="K8" s="172">
        <f>IFERROR(J8/SUM(F8),0)</f>
        <v/>
      </c>
      <c r="L8" s="188" t="n">
        <v>25054.65</v>
      </c>
      <c r="M8" s="89">
        <f>SUM(L8/D8)</f>
        <v/>
      </c>
      <c r="N8" s="130" t="n">
        <v>3600.1</v>
      </c>
      <c r="O8" s="26" t="n"/>
    </row>
    <row r="9" ht="15.6" customHeight="1">
      <c r="A9" s="409" t="inlineStr">
        <is>
          <t>Rosebank</t>
        </is>
      </c>
      <c r="B9" s="200">
        <f>'6 Jan - 12 Jan'!D9</f>
        <v/>
      </c>
      <c r="C9" s="73" t="n">
        <v>287612.29</v>
      </c>
      <c r="D9" s="145" t="n">
        <v>282534.18</v>
      </c>
      <c r="E9" s="163">
        <f>IFERROR((SUM(D9-C9)/C9),0)</f>
        <v/>
      </c>
      <c r="F9" s="166" t="n">
        <v>2209</v>
      </c>
      <c r="G9" s="63">
        <f>IFERROR(D9/F9,0)</f>
        <v/>
      </c>
      <c r="H9" s="61" t="n">
        <v>12</v>
      </c>
      <c r="I9" s="169">
        <f>IFERROR(H9/F9,0)</f>
        <v/>
      </c>
      <c r="J9" s="46">
        <f>SUM(H9+79+'9 Dec - 15 Dec'!H9+'16 Dec - 22 Dec'!H9+'23 Dec - 29 Dec'!H9+'30 Dec - 5 Jan'!H9+'6 Jan - 12 Jan'!H9)</f>
        <v/>
      </c>
      <c r="K9" s="172">
        <f>IFERROR(J9/SUM(F9),0)</f>
        <v/>
      </c>
      <c r="L9" s="188" t="n">
        <v>16290.35</v>
      </c>
      <c r="M9" s="89">
        <f>SUM(L9/D9)</f>
        <v/>
      </c>
      <c r="N9" s="130" t="n">
        <v>15413.6</v>
      </c>
      <c r="O9" s="26" t="n"/>
    </row>
    <row r="10" ht="15.6" customHeight="1">
      <c r="A10" s="409" t="inlineStr">
        <is>
          <t xml:space="preserve">Waterkloof </t>
        </is>
      </c>
      <c r="B10" s="200">
        <f>'6 Jan - 12 Jan'!D10</f>
        <v/>
      </c>
      <c r="C10" s="73" t="n">
        <v>132398.45</v>
      </c>
      <c r="D10" s="145" t="n">
        <v>160577.06</v>
      </c>
      <c r="E10" s="163">
        <f>IFERROR((SUM(D10-C10)/C10),0)</f>
        <v/>
      </c>
      <c r="F10" s="166" t="n">
        <v>1042</v>
      </c>
      <c r="G10" s="63">
        <f>IFERROR(D10/F10,0)</f>
        <v/>
      </c>
      <c r="H10" s="61" t="n">
        <v>27</v>
      </c>
      <c r="I10" s="169">
        <f>IFERROR(H10/F10,0)</f>
        <v/>
      </c>
      <c r="J10" s="46">
        <f>SUM(H10+130+'9 Dec - 15 Dec'!H10+'16 Dec - 22 Dec'!H10+'23 Dec - 29 Dec'!H10+'30 Dec - 5 Jan'!H10+'6 Jan - 12 Jan'!H10)</f>
        <v/>
      </c>
      <c r="K10" s="172">
        <f>IFERROR(J10/SUM(F10),0)</f>
        <v/>
      </c>
      <c r="L10" s="188" t="n">
        <v>41100.48</v>
      </c>
      <c r="M10" s="89">
        <f>SUM(L10/D10)</f>
        <v/>
      </c>
      <c r="N10" s="130" t="n">
        <v>12738.15</v>
      </c>
      <c r="O10" s="26" t="n"/>
    </row>
    <row r="11" ht="15.6" customHeight="1">
      <c r="A11" s="409" t="inlineStr">
        <is>
          <t>Eagles Landing</t>
        </is>
      </c>
      <c r="B11" s="200">
        <f>'6 Jan - 12 Jan'!D11</f>
        <v/>
      </c>
      <c r="C11" s="73" t="n">
        <v>313579.03</v>
      </c>
      <c r="D11" s="145" t="n">
        <v>287900.99</v>
      </c>
      <c r="E11" s="163">
        <f>IFERROR((SUM(D11-C11)/C11),0)</f>
        <v/>
      </c>
      <c r="F11" s="166" t="n">
        <v>2000</v>
      </c>
      <c r="G11" s="63">
        <f>IFERROR(D11/F11,0)</f>
        <v/>
      </c>
      <c r="H11" s="61" t="n">
        <v>18</v>
      </c>
      <c r="I11" s="169">
        <f>IFERROR(H11/F11,0)</f>
        <v/>
      </c>
      <c r="J11" s="46">
        <f>SUM(H11+123+'9 Dec - 15 Dec'!H11+'16 Dec - 22 Dec'!H11+'23 Dec - 29 Dec'!H11+'30 Dec - 5 Jan'!H11+'6 Jan - 12 Jan'!H11)</f>
        <v/>
      </c>
      <c r="K11" s="172">
        <f>IFERROR(J11/SUM(F11),0)</f>
        <v/>
      </c>
      <c r="L11" s="188" t="n">
        <v>44712.3</v>
      </c>
      <c r="M11" s="89">
        <f>SUM(L11/D11)</f>
        <v/>
      </c>
      <c r="N11" s="130" t="n">
        <v>1718.7</v>
      </c>
      <c r="O11" s="26" t="n"/>
    </row>
    <row r="12" ht="15.6" customHeight="1">
      <c r="A12" s="198" t="inlineStr">
        <is>
          <t>Stellenbosch</t>
        </is>
      </c>
      <c r="B12" s="200">
        <f>'6 Jan - 12 Jan'!D12</f>
        <v/>
      </c>
      <c r="C12" s="73" t="n">
        <v>139966.8</v>
      </c>
      <c r="D12" s="145" t="n">
        <v>167794.96</v>
      </c>
      <c r="E12" s="163">
        <f>IFERROR((SUM(D12-C12)/C12),0)</f>
        <v/>
      </c>
      <c r="F12" s="166" t="n">
        <v>1276</v>
      </c>
      <c r="G12" s="63">
        <f>IFERROR(D12/F12,0)</f>
        <v/>
      </c>
      <c r="H12" s="61" t="n">
        <v>18</v>
      </c>
      <c r="I12" s="169">
        <f>IFERROR(H12/F12,0)</f>
        <v/>
      </c>
      <c r="J12" s="46">
        <f>SUM(H12+55+'9 Dec - 15 Dec'!H12+'16 Dec - 22 Dec'!H12+'23 Dec - 29 Dec'!H12+'30 Dec - 5 Jan'!H12+'6 Jan - 12 Jan'!H12)</f>
        <v/>
      </c>
      <c r="K12" s="172">
        <f>IFERROR(J12/SUM(F12),0)</f>
        <v/>
      </c>
      <c r="L12" s="188" t="n">
        <v>23203.3</v>
      </c>
      <c r="M12" s="89">
        <f>SUM(L12/D12)</f>
        <v/>
      </c>
      <c r="N12" s="130" t="n">
        <v>12677.47</v>
      </c>
      <c r="O12" s="26" t="n"/>
    </row>
    <row r="13" ht="15.6" customHeight="1">
      <c r="A13" s="198" t="inlineStr">
        <is>
          <t>Lynnwood</t>
        </is>
      </c>
      <c r="B13" s="200">
        <f>'6 Jan - 12 Jan'!D13</f>
        <v/>
      </c>
      <c r="C13" s="73" t="n">
        <v>198827.43</v>
      </c>
      <c r="D13" s="145" t="n">
        <v>173601.74</v>
      </c>
      <c r="E13" s="163">
        <f>IFERROR((SUM(D13-C13)/C13),0)</f>
        <v/>
      </c>
      <c r="F13" s="166" t="n">
        <v>1411</v>
      </c>
      <c r="G13" s="63">
        <f>IFERROR(D13/F13,0)</f>
        <v/>
      </c>
      <c r="H13" s="61" t="n">
        <v>18</v>
      </c>
      <c r="I13" s="169">
        <f>IFERROR(H13/F13,0)</f>
        <v/>
      </c>
      <c r="J13" s="46">
        <f>SUM(H13+66+'9 Dec - 15 Dec'!H13+'16 Dec - 22 Dec'!H13+'23 Dec - 29 Dec'!H13+'30 Dec - 5 Jan'!H13+'6 Jan - 12 Jan'!H13)</f>
        <v/>
      </c>
      <c r="K13" s="172">
        <f>IFERROR(J13/SUM(F13),0)</f>
        <v/>
      </c>
      <c r="L13" s="188" t="n">
        <v>26711.26</v>
      </c>
      <c r="M13" s="89">
        <f>SUM(L13/D13)</f>
        <v/>
      </c>
      <c r="N13" s="130" t="n">
        <v>16121.55</v>
      </c>
      <c r="O13" s="26" t="n"/>
    </row>
    <row r="14" hidden="1" ht="15.6" customHeight="1">
      <c r="A14" s="198" t="inlineStr">
        <is>
          <t>Wellington</t>
        </is>
      </c>
      <c r="B14" s="200">
        <f>'6 Jan - 12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'6 Jan - 12 Jan'!D15</f>
        <v/>
      </c>
      <c r="C15" s="73" t="n">
        <v>189348.96</v>
      </c>
      <c r="D15" s="145" t="n">
        <v>187166.99</v>
      </c>
      <c r="E15" s="163">
        <f>IFERROR((SUM(D15-C15)/C15),0)</f>
        <v/>
      </c>
      <c r="F15" s="166" t="n">
        <v>1564</v>
      </c>
      <c r="G15" s="63">
        <f>IFERROR(D15/F15,0)</f>
        <v/>
      </c>
      <c r="H15" s="61" t="n">
        <v>14</v>
      </c>
      <c r="I15" s="169">
        <f>IFERROR(H15/F15,0)</f>
        <v/>
      </c>
      <c r="J15" s="46">
        <f>SUM(H15+134+'9 Dec - 15 Dec'!H15+'16 Dec - 22 Dec'!H15+'23 Dec - 29 Dec'!H15+'30 Dec - 5 Jan'!H15+'6 Jan - 12 Jan'!H15)</f>
        <v/>
      </c>
      <c r="K15" s="172">
        <f>IFERROR(J15/SUM(F15),0)</f>
        <v/>
      </c>
      <c r="L15" s="188" t="n">
        <v>12016.87</v>
      </c>
      <c r="M15" s="89">
        <f>SUM(L15/D15)</f>
        <v/>
      </c>
      <c r="N15" s="130" t="n">
        <v>9609.799999999999</v>
      </c>
      <c r="O15" s="9" t="n"/>
    </row>
    <row r="16" ht="15.6" customHeight="1">
      <c r="A16" s="198" t="inlineStr">
        <is>
          <t>Kyalami Corner</t>
        </is>
      </c>
      <c r="B16" s="200">
        <f>'6 Jan - 12 Jan'!D16</f>
        <v/>
      </c>
      <c r="C16" s="73" t="n">
        <v>121824.18</v>
      </c>
      <c r="D16" s="145" t="n">
        <v>114412.28</v>
      </c>
      <c r="E16" s="163">
        <f>IFERROR((SUM(D16-C16)/C16),0)</f>
        <v/>
      </c>
      <c r="F16" s="166" t="n">
        <v>796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Jan'!H16)</f>
        <v/>
      </c>
      <c r="K16" s="172">
        <f>IFERROR(J16/SUM(F16),0)</f>
        <v/>
      </c>
      <c r="L16" s="188" t="n">
        <v>23592.35</v>
      </c>
      <c r="M16" s="89">
        <f>SUM(L16/D16)</f>
        <v/>
      </c>
      <c r="N16" s="130" t="n">
        <v>10242</v>
      </c>
      <c r="O16" s="9" t="n"/>
    </row>
    <row r="17" ht="15.6" customHeight="1">
      <c r="A17" s="198" t="inlineStr">
        <is>
          <t>Paulshof</t>
        </is>
      </c>
      <c r="B17" s="200">
        <f>'6 Jan - 12 Jan'!D17</f>
        <v/>
      </c>
      <c r="C17" s="73" t="n">
        <v>198434.85</v>
      </c>
      <c r="D17" s="145" t="n">
        <v>173816.25</v>
      </c>
      <c r="E17" s="163">
        <f>IFERROR((SUM(D17-C17)/C17),0)</f>
        <v/>
      </c>
      <c r="F17" s="166" t="n">
        <v>1187</v>
      </c>
      <c r="G17" s="63">
        <f>IFERROR(D17/F17,0)</f>
        <v/>
      </c>
      <c r="H17" s="61" t="n">
        <v>10</v>
      </c>
      <c r="I17" s="169">
        <f>IFERROR(H17/F17,0)</f>
        <v/>
      </c>
      <c r="J17" s="46">
        <f>SUM(H17+61+'9 Dec - 15 Dec'!H17+'16 Dec - 22 Dec'!H17+'23 Dec - 29 Dec'!H17+'30 Dec - 5 Jan'!H17+'6 Jan - 12 Jan'!H17)</f>
        <v/>
      </c>
      <c r="K17" s="172">
        <f>IFERROR(J17/SUM(F17),0)</f>
        <v/>
      </c>
      <c r="L17" s="188" t="n">
        <v>23268.61</v>
      </c>
      <c r="M17" s="89">
        <f>SUM(L17/D17)</f>
        <v/>
      </c>
      <c r="N17" s="130" t="n">
        <v>13396.18</v>
      </c>
      <c r="O17" s="9" t="n"/>
    </row>
    <row r="18" ht="15.6" customHeight="1">
      <c r="A18" s="198" t="inlineStr">
        <is>
          <t>Queenswood</t>
        </is>
      </c>
      <c r="B18" s="200">
        <f>'6 Jan - 12 Jan'!D18</f>
        <v/>
      </c>
      <c r="C18" s="73" t="n"/>
      <c r="D18" s="145" t="n">
        <v>172665.54</v>
      </c>
      <c r="E18" s="163">
        <f>IFERROR((SUM(D18-C18)/C18),0)</f>
        <v/>
      </c>
      <c r="F18" s="166" t="n">
        <v>1449</v>
      </c>
      <c r="G18" s="63">
        <f>IFERROR(D18/F18,0)</f>
        <v/>
      </c>
      <c r="H18" s="61" t="n">
        <v>20</v>
      </c>
      <c r="I18" s="169">
        <f>IFERROR(H18/F18,0)</f>
        <v/>
      </c>
      <c r="J18" s="46">
        <f>SUM(H18+158+'9 Dec - 15 Dec'!H18+'16 Dec - 22 Dec'!H18+'23 Dec - 29 Dec'!H18+'30 Dec - 5 Jan'!H18+'6 Jan - 12 Jan'!H18)</f>
        <v/>
      </c>
      <c r="K18" s="172">
        <f>IFERROR(J18/SUM(F18),0)</f>
        <v/>
      </c>
      <c r="L18" s="188" t="n">
        <v>21850.35</v>
      </c>
      <c r="M18" s="89">
        <f>SUM(L18/D18)</f>
        <v/>
      </c>
      <c r="N18" s="130" t="n">
        <v>7607.8</v>
      </c>
      <c r="O18" s="9" t="n"/>
    </row>
    <row r="19" ht="16.2" customHeight="1" thickBot="1">
      <c r="A19" s="203" t="inlineStr">
        <is>
          <t>Centurion</t>
        </is>
      </c>
      <c r="B19" s="201">
        <f>'6 Jan - 12 Jan'!D19</f>
        <v/>
      </c>
      <c r="C19" s="205" t="n"/>
      <c r="D19" s="206" t="n">
        <v>118955.12</v>
      </c>
      <c r="E19" s="207">
        <f>IFERROR((SUM(D19-C19)/C19),0)</f>
        <v/>
      </c>
      <c r="F19" s="208" t="n">
        <v>1091</v>
      </c>
      <c r="G19" s="209">
        <f>IFERROR(D19/F19,0)</f>
        <v/>
      </c>
      <c r="H19" s="210" t="n">
        <v>9</v>
      </c>
      <c r="I19" s="211">
        <f>IFERROR(H19/F19,0)</f>
        <v/>
      </c>
      <c r="J19" s="212">
        <f>H19+'23 Dec - 29 Dec'!H19+'30 Dec - 5 Jan'!H19+'6 Jan - 12 Jan'!H19</f>
        <v/>
      </c>
      <c r="K19" s="213">
        <f>IFERROR(J19/SUM(F19),0)</f>
        <v/>
      </c>
      <c r="L19" s="214" t="n">
        <v>23971.96</v>
      </c>
      <c r="M19" s="215">
        <f>SUM(L19/D19)</f>
        <v/>
      </c>
      <c r="N19" s="216" t="n">
        <v>12131.4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'13 Jan - 19 Jan'!D6</f>
        <v/>
      </c>
      <c r="C6" s="123" t="n">
        <v>254835.6</v>
      </c>
      <c r="D6" s="197" t="n">
        <v>244971.94</v>
      </c>
      <c r="E6" s="162">
        <f>IFERROR((SUM(D6-C6)/C6),0)</f>
        <v/>
      </c>
      <c r="F6" s="165" t="n">
        <v>2424</v>
      </c>
      <c r="G6" s="124">
        <f>IFERROR(D6/F6,0)</f>
        <v/>
      </c>
      <c r="H6" s="125" t="n">
        <v>8</v>
      </c>
      <c r="I6" s="168">
        <f>IFERROR(H6/F6,0)</f>
        <v/>
      </c>
      <c r="J6" s="46">
        <f>SUM(109+H6+'9 Dec - 15 Dec'!H6+'16 Dec - 22 Dec'!H6+'23 Dec - 29 Dec'!H6+'30 Dec - 5 Jan'!H6+'6 Jan - 12 Jan'!H6+'13 Jan - 19 Jan'!H6)</f>
        <v/>
      </c>
      <c r="K6" s="171">
        <f>IFERROR(J6/SUM(F6),0)</f>
        <v/>
      </c>
      <c r="L6" s="191" t="n">
        <v>34829.09</v>
      </c>
      <c r="M6" s="128">
        <f>SUM(L6/D6)</f>
        <v/>
      </c>
      <c r="N6" s="129" t="n">
        <v>16199.5</v>
      </c>
      <c r="O6" s="26" t="n"/>
    </row>
    <row r="7" ht="15.6" customHeight="1">
      <c r="A7" s="409" t="inlineStr">
        <is>
          <t>Melrose Arch</t>
        </is>
      </c>
      <c r="B7" s="200">
        <f>'13 Jan - 19 Jan'!D7</f>
        <v/>
      </c>
      <c r="C7" s="73" t="n">
        <v>191397.82</v>
      </c>
      <c r="D7" s="145" t="n">
        <v>212211.86</v>
      </c>
      <c r="E7" s="163">
        <f>IFERROR((SUM(D7-C7)/C7),0)</f>
        <v/>
      </c>
      <c r="F7" s="166" t="n">
        <v>1634</v>
      </c>
      <c r="G7" s="63">
        <f>IFERROR(D7/F7,0)</f>
        <v/>
      </c>
      <c r="H7" s="61" t="n">
        <v>6</v>
      </c>
      <c r="I7" s="169">
        <f>IFERROR(H7/F7,0)</f>
        <v/>
      </c>
      <c r="J7" s="46">
        <f>SUM(H7+153+'9 Dec - 15 Dec'!H7+'16 Dec - 22 Dec'!H7+'23 Dec - 29 Dec'!H7+'30 Dec - 5 Jan'!H7+'6 Jan - 12 Jan'!H7+'13 Jan - 19 Jan'!H7)</f>
        <v/>
      </c>
      <c r="K7" s="172">
        <f>IFERROR(J7/SUM(F7),0)</f>
        <v/>
      </c>
      <c r="L7" s="188" t="n">
        <v>21913.83</v>
      </c>
      <c r="M7" s="89">
        <f>SUM(L7/D7)</f>
        <v/>
      </c>
      <c r="N7" s="130" t="n">
        <v>17678.75</v>
      </c>
      <c r="O7" s="26" t="n"/>
    </row>
    <row r="8" ht="15.6" customHeight="1">
      <c r="A8" s="409" t="inlineStr">
        <is>
          <t>Melville</t>
        </is>
      </c>
      <c r="B8" s="200">
        <f>'13 Jan - 19 Jan'!D8</f>
        <v/>
      </c>
      <c r="C8" s="73" t="n">
        <v>86713.33</v>
      </c>
      <c r="D8" s="145" t="n">
        <v>104090</v>
      </c>
      <c r="E8" s="163">
        <f>IFERROR((SUM(D8-C8)/C8),0)</f>
        <v/>
      </c>
      <c r="F8" s="166" t="n">
        <v>708</v>
      </c>
      <c r="G8" s="63">
        <f>IFERROR(D8/F8,0)</f>
        <v/>
      </c>
      <c r="H8" s="61" t="n">
        <v>0</v>
      </c>
      <c r="I8" s="169">
        <f>IFERROR(H8/F8,0)</f>
        <v/>
      </c>
      <c r="J8" s="46">
        <f>SUM(H8+12+'9 Dec - 15 Dec'!H8+'16 Dec - 22 Dec'!H8+'23 Dec - 29 Dec'!H8+'30 Dec - 5 Jan'!H8+'6 Jan - 12 Jan'!H8+'13 Jan - 19 Jan'!H8)</f>
        <v/>
      </c>
      <c r="K8" s="172">
        <f>IFERROR(J8/SUM(F8),0)</f>
        <v/>
      </c>
      <c r="L8" s="188" t="n">
        <v>31041.74</v>
      </c>
      <c r="M8" s="89">
        <f>SUM(L8/D8)</f>
        <v/>
      </c>
      <c r="N8" s="130" t="n">
        <v>4191.1</v>
      </c>
      <c r="O8" s="26" t="n"/>
    </row>
    <row r="9" ht="15.6" customHeight="1">
      <c r="A9" s="409" t="inlineStr">
        <is>
          <t>Rosebank</t>
        </is>
      </c>
      <c r="B9" s="200">
        <f>'13 Jan - 19 Jan'!D9</f>
        <v/>
      </c>
      <c r="C9" s="73" t="n">
        <v>328134.63</v>
      </c>
      <c r="D9" s="145" t="n">
        <v>326457.8</v>
      </c>
      <c r="E9" s="163">
        <f>IFERROR((SUM(D9-C9)/C9),0)</f>
        <v/>
      </c>
      <c r="F9" s="166" t="n">
        <v>2636</v>
      </c>
      <c r="G9" s="63">
        <f>IFERROR(D9/F9,0)</f>
        <v/>
      </c>
      <c r="H9" s="61" t="n">
        <v>32</v>
      </c>
      <c r="I9" s="169">
        <f>IFERROR(H9/F9,0)</f>
        <v/>
      </c>
      <c r="J9" s="46">
        <f>SUM(H9+79+'9 Dec - 15 Dec'!H9+'16 Dec - 22 Dec'!H9+'23 Dec - 29 Dec'!H9+'30 Dec - 5 Jan'!H9+'6 Jan - 12 Jan'!H9+'13 Jan - 19 Jan'!H9)</f>
        <v/>
      </c>
      <c r="K9" s="172">
        <f>IFERROR(J9/SUM(F9),0)</f>
        <v/>
      </c>
      <c r="L9" s="188" t="n">
        <v>19963.09</v>
      </c>
      <c r="M9" s="89">
        <f>SUM(L9/D9)</f>
        <v/>
      </c>
      <c r="N9" s="130" t="n">
        <v>14879.9</v>
      </c>
      <c r="O9" s="26" t="n"/>
    </row>
    <row r="10" ht="15.6" customHeight="1">
      <c r="A10" s="409" t="inlineStr">
        <is>
          <t xml:space="preserve">Waterkloof </t>
        </is>
      </c>
      <c r="B10" s="200">
        <f>'13 Jan - 19 Jan'!D10</f>
        <v/>
      </c>
      <c r="C10" s="73" t="n">
        <v>144600.03</v>
      </c>
      <c r="D10" s="145" t="n">
        <v>168531.62</v>
      </c>
      <c r="E10" s="163">
        <f>IFERROR((SUM(D10-C10)/C10),0)</f>
        <v/>
      </c>
      <c r="F10" s="166" t="n">
        <v>1155</v>
      </c>
      <c r="G10" s="63">
        <f>IFERROR(D10/F10,0)</f>
        <v/>
      </c>
      <c r="H10" s="61" t="n">
        <v>26</v>
      </c>
      <c r="I10" s="169">
        <f>IFERROR(H10/F10,0)</f>
        <v/>
      </c>
      <c r="J10" s="46">
        <f>SUM(H10+130+'9 Dec - 15 Dec'!H10+'16 Dec - 22 Dec'!H10+'23 Dec - 29 Dec'!H10+'30 Dec - 5 Jan'!H10+'6 Jan - 12 Jan'!H10+'13 Jan - 19 Jan'!H10)</f>
        <v/>
      </c>
      <c r="K10" s="172">
        <f>IFERROR(J10/SUM(F10),0)</f>
        <v/>
      </c>
      <c r="L10" s="188" t="n">
        <v>35336.74</v>
      </c>
      <c r="M10" s="89">
        <f>SUM(L10/D10)</f>
        <v/>
      </c>
      <c r="N10" s="130" t="n">
        <v>9067.25</v>
      </c>
      <c r="O10" s="26" t="n"/>
    </row>
    <row r="11" ht="15.6" customHeight="1">
      <c r="A11" s="409" t="inlineStr">
        <is>
          <t>Eagles Landing</t>
        </is>
      </c>
      <c r="B11" s="200">
        <f>'13 Jan - 19 Jan'!D11</f>
        <v/>
      </c>
      <c r="C11" s="73" t="n">
        <v>317233.92</v>
      </c>
      <c r="D11" s="145" t="n">
        <v>291680.29</v>
      </c>
      <c r="E11" s="163">
        <f>IFERROR((SUM(D11-C11)/C11),0)</f>
        <v/>
      </c>
      <c r="F11" s="166" t="n">
        <v>2023</v>
      </c>
      <c r="G11" s="63">
        <f>IFERROR(D11/F11,0)</f>
        <v/>
      </c>
      <c r="H11" s="61" t="n">
        <v>21</v>
      </c>
      <c r="I11" s="169">
        <f>IFERROR(H11/F11,0)</f>
        <v/>
      </c>
      <c r="J11" s="46">
        <f>SUM(H11+123+'9 Dec - 15 Dec'!H11+'16 Dec - 22 Dec'!H11+'23 Dec - 29 Dec'!H11+'30 Dec - 5 Jan'!H11+'6 Jan - 12 Jan'!H11+'13 Jan - 19 Jan'!H11)</f>
        <v/>
      </c>
      <c r="K11" s="172">
        <f>IFERROR(J11/SUM(F11),0)</f>
        <v/>
      </c>
      <c r="L11" s="188" t="n">
        <v>47738</v>
      </c>
      <c r="M11" s="89">
        <f>SUM(L11/D11)</f>
        <v/>
      </c>
      <c r="N11" s="130" t="n">
        <v>22989.65</v>
      </c>
      <c r="O11" s="26" t="n"/>
    </row>
    <row r="12" ht="15.6" customHeight="1">
      <c r="A12" s="198" t="inlineStr">
        <is>
          <t>Stellenbosch</t>
        </is>
      </c>
      <c r="B12" s="200">
        <f>'13 Jan - 19 Jan'!D12</f>
        <v/>
      </c>
      <c r="C12" s="73" t="n">
        <v>152846.04</v>
      </c>
      <c r="D12" s="145" t="n">
        <v>156281.82</v>
      </c>
      <c r="E12" s="163">
        <f>IFERROR((SUM(D12-C12)/C12),0)</f>
        <v/>
      </c>
      <c r="F12" s="166" t="n">
        <v>1269</v>
      </c>
      <c r="G12" s="63">
        <f>IFERROR(D12/F12,0)</f>
        <v/>
      </c>
      <c r="H12" s="61" t="n">
        <v>0</v>
      </c>
      <c r="I12" s="169">
        <f>IFERROR(H12/F12,0)</f>
        <v/>
      </c>
      <c r="J12" s="46">
        <f>SUM(H12+55+'9 Dec - 15 Dec'!H12+'16 Dec - 22 Dec'!H12+'23 Dec - 29 Dec'!H12+'30 Dec - 5 Jan'!H12+'6 Jan - 12 Jan'!H12+'13 Jan - 19 Jan'!H12)</f>
        <v/>
      </c>
      <c r="K12" s="172">
        <f>IFERROR(J12/SUM(F12),0)</f>
        <v/>
      </c>
      <c r="L12" s="188" t="n">
        <v>17753.96</v>
      </c>
      <c r="M12" s="89">
        <f>SUM(L12/D12)</f>
        <v/>
      </c>
      <c r="N12" s="130" t="n">
        <v>12821.9</v>
      </c>
      <c r="O12" s="26" t="n"/>
    </row>
    <row r="13" ht="15.6" customHeight="1">
      <c r="A13" s="198" t="inlineStr">
        <is>
          <t>Lynnwood</t>
        </is>
      </c>
      <c r="B13" s="200">
        <f>'13 Jan - 19 Jan'!D13</f>
        <v/>
      </c>
      <c r="C13" s="73" t="n">
        <v>243010.12</v>
      </c>
      <c r="D13" s="145" t="n">
        <v>195672.15</v>
      </c>
      <c r="E13" s="163">
        <f>IFERROR((SUM(D13-C13)/C13),0)</f>
        <v/>
      </c>
      <c r="F13" s="166" t="n">
        <v>1546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Jan'!H13)</f>
        <v/>
      </c>
      <c r="K13" s="172">
        <f>IFERROR(J13/SUM(F13),0)</f>
        <v/>
      </c>
      <c r="L13" s="188" t="n">
        <v>28862.3</v>
      </c>
      <c r="M13" s="89">
        <f>SUM(L13/D13)</f>
        <v/>
      </c>
      <c r="N13" s="130" t="n">
        <v>12937.7</v>
      </c>
      <c r="O13" s="26" t="n"/>
    </row>
    <row r="14" hidden="1" ht="15.6" customHeight="1">
      <c r="A14" s="198" t="inlineStr">
        <is>
          <t>Wellington</t>
        </is>
      </c>
      <c r="B14" s="200">
        <f>'13 Jan - 19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'13 Jan - 19 Jan'!D15</f>
        <v/>
      </c>
      <c r="C15" s="73" t="n">
        <v>166877.21</v>
      </c>
      <c r="D15" s="145" t="n">
        <v>177959.61</v>
      </c>
      <c r="E15" s="163">
        <f>IFERROR((SUM(D15-C15)/C15),0)</f>
        <v/>
      </c>
      <c r="F15" s="166" t="n">
        <v>1472</v>
      </c>
      <c r="G15" s="63">
        <f>IFERROR(D15/F15,0)</f>
        <v/>
      </c>
      <c r="H15" s="61" t="n">
        <v>18</v>
      </c>
      <c r="I15" s="169">
        <f>IFERROR(H15/F15,0)</f>
        <v/>
      </c>
      <c r="J15" s="46">
        <f>SUM(H15+134+'9 Dec - 15 Dec'!H15+'16 Dec - 22 Dec'!H15+'23 Dec - 29 Dec'!H15+'30 Dec - 5 Jan'!H15+'6 Jan - 12 Jan'!H15+'13 Jan - 19 Jan'!H15)</f>
        <v/>
      </c>
      <c r="K15" s="172">
        <f>IFERROR(J15/SUM(F15),0)</f>
        <v/>
      </c>
      <c r="L15" s="188" t="n">
        <v>13022.61</v>
      </c>
      <c r="M15" s="89">
        <f>SUM(L15/D15)</f>
        <v/>
      </c>
      <c r="N15" s="130" t="n">
        <v>7907.85</v>
      </c>
      <c r="O15" s="9" t="n"/>
    </row>
    <row r="16" ht="15.6" customHeight="1">
      <c r="A16" s="198" t="inlineStr">
        <is>
          <t>Kyalami Corner</t>
        </is>
      </c>
      <c r="B16" s="200">
        <f>'13 Jan - 19 Jan'!D16</f>
        <v/>
      </c>
      <c r="C16" s="73" t="n">
        <v>125945.97</v>
      </c>
      <c r="D16" s="145" t="n">
        <v>127667.08</v>
      </c>
      <c r="E16" s="163">
        <f>IFERROR((SUM(D16-C16)/C16),0)</f>
        <v/>
      </c>
      <c r="F16" s="166" t="n">
        <v>875</v>
      </c>
      <c r="G16" s="63">
        <f>IFERROR(D16/F16,0)</f>
        <v/>
      </c>
      <c r="H16" s="61" t="n">
        <v>7</v>
      </c>
      <c r="I16" s="169">
        <f>IFERROR(H16/F16,0)</f>
        <v/>
      </c>
      <c r="J16" s="46">
        <f>SUM(H16+67+'9 Dec - 15 Dec'!H16+'16 Dec - 22 Dec'!H16+'23 Dec - 29 Dec'!H16+'30 Dec - 5 Jan'!H16+'6 Jan - 12 Jan'!H16+'13 Jan - 19 Jan'!H16)</f>
        <v/>
      </c>
      <c r="K16" s="172">
        <f>IFERROR(J16/SUM(F16),0)</f>
        <v/>
      </c>
      <c r="L16" s="188" t="n">
        <v>24269.96</v>
      </c>
      <c r="M16" s="89">
        <f>SUM(L16/D16)</f>
        <v/>
      </c>
      <c r="N16" s="130" t="n">
        <v>11122.7</v>
      </c>
      <c r="O16" s="9" t="n"/>
    </row>
    <row r="17" ht="15.6" customHeight="1">
      <c r="A17" s="198" t="inlineStr">
        <is>
          <t>Paulshof</t>
        </is>
      </c>
      <c r="B17" s="200">
        <f>'13 Jan - 19 Jan'!D17</f>
        <v/>
      </c>
      <c r="C17" s="73" t="n">
        <v>206751.49</v>
      </c>
      <c r="D17" s="145" t="n">
        <v>217452</v>
      </c>
      <c r="E17" s="163">
        <f>IFERROR((SUM(D17-C17)/C17),0)</f>
        <v/>
      </c>
      <c r="F17" s="166" t="n">
        <v>1462</v>
      </c>
      <c r="G17" s="63">
        <f>IFERROR(D17/F17,0)</f>
        <v/>
      </c>
      <c r="H17" s="61" t="n">
        <v>20</v>
      </c>
      <c r="I17" s="169">
        <f>IFERROR(H17/F17,0)</f>
        <v/>
      </c>
      <c r="J17" s="46">
        <f>SUM(H17+61+'9 Dec - 15 Dec'!H17+'16 Dec - 22 Dec'!H17+'23 Dec - 29 Dec'!H17+'30 Dec - 5 Jan'!H17+'6 Jan - 12 Jan'!H17+'13 Jan - 19 Jan'!H17)</f>
        <v/>
      </c>
      <c r="K17" s="172">
        <f>IFERROR(J17/SUM(F17),0)</f>
        <v/>
      </c>
      <c r="L17" s="188" t="n">
        <v>32388.87</v>
      </c>
      <c r="M17" s="89">
        <f>SUM(L17/D17)</f>
        <v/>
      </c>
      <c r="N17" s="130" t="n">
        <v>14476.7</v>
      </c>
      <c r="O17" s="9" t="n"/>
    </row>
    <row r="18" ht="15.6" customHeight="1">
      <c r="A18" s="198" t="inlineStr">
        <is>
          <t>Queenswood</t>
        </is>
      </c>
      <c r="B18" s="200">
        <f>'13 Jan - 19 Jan'!D18</f>
        <v/>
      </c>
      <c r="C18" s="73" t="n"/>
      <c r="D18" s="145" t="n">
        <v>198718.15</v>
      </c>
      <c r="E18" s="163">
        <f>IFERROR((SUM(D18-C18)/C18),0)</f>
        <v/>
      </c>
      <c r="F18" s="166" t="n">
        <v>1521</v>
      </c>
      <c r="G18" s="63">
        <f>IFERROR(D18/F18,0)</f>
        <v/>
      </c>
      <c r="H18" s="61" t="n">
        <v>40</v>
      </c>
      <c r="I18" s="169">
        <f>IFERROR(H18/F18,0)</f>
        <v/>
      </c>
      <c r="J18" s="46">
        <f>SUM(H18+158+'9 Dec - 15 Dec'!H18+'16 Dec - 22 Dec'!H18+'23 Dec - 29 Dec'!H18+'30 Dec - 5 Jan'!H18+'6 Jan - 12 Jan'!H18+'13 Jan - 19 Jan'!H18)</f>
        <v/>
      </c>
      <c r="K18" s="172">
        <f>IFERROR(J18/SUM(F18),0)</f>
        <v/>
      </c>
      <c r="L18" s="188" t="n">
        <v>27730.74</v>
      </c>
      <c r="M18" s="89">
        <f>SUM(L18/D18)</f>
        <v/>
      </c>
      <c r="N18" s="130" t="n">
        <v>8022.67</v>
      </c>
      <c r="O18" s="9" t="n"/>
    </row>
    <row r="19" ht="16.2" customHeight="1" thickBot="1">
      <c r="A19" s="203" t="inlineStr">
        <is>
          <t>Centurion</t>
        </is>
      </c>
      <c r="B19" s="201">
        <f>'13 Jan - 19 Jan'!D19</f>
        <v/>
      </c>
      <c r="C19" s="205" t="n"/>
      <c r="D19" s="206" t="n">
        <v>126018.06</v>
      </c>
      <c r="E19" s="207">
        <f>IFERROR((SUM(D19-C19)/C19),0)</f>
        <v/>
      </c>
      <c r="F19" s="208" t="n">
        <v>1128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</f>
        <v/>
      </c>
      <c r="K19" s="213">
        <f>IFERROR(J19/SUM(F19),0)</f>
        <v/>
      </c>
      <c r="L19" s="214" t="n">
        <v>28419.43</v>
      </c>
      <c r="M19" s="215">
        <f>SUM(L19/D19)</f>
        <v/>
      </c>
      <c r="N19" s="216" t="n">
        <v>10980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(((D4-D18)-C4)/C4)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 t="n"/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'20 Jan - 26 Jan'!D6</f>
        <v/>
      </c>
      <c r="C6" s="123" t="n">
        <v>234881.47</v>
      </c>
      <c r="D6" s="197" t="n">
        <v>253886.48</v>
      </c>
      <c r="E6" s="162">
        <f>IFERROR((SUM(D6-C6)/C6),0)</f>
        <v/>
      </c>
      <c r="F6" s="165" t="n">
        <v>2842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Jan'!H6)</f>
        <v/>
      </c>
      <c r="K6" s="171">
        <f>IFERROR(J6/SUM(F6),0)</f>
        <v/>
      </c>
      <c r="L6" s="191" t="n">
        <v>35506.74</v>
      </c>
      <c r="M6" s="128">
        <f>SUM(L6/D6)</f>
        <v/>
      </c>
      <c r="N6" s="129" t="n">
        <v>12350.47</v>
      </c>
      <c r="O6" s="26" t="n"/>
    </row>
    <row r="7" ht="15.6" customHeight="1">
      <c r="A7" s="409" t="inlineStr">
        <is>
          <t>Melrose Arch</t>
        </is>
      </c>
      <c r="B7" s="200">
        <f>'20 Jan - 26 Jan'!D7</f>
        <v/>
      </c>
      <c r="C7" s="73" t="n">
        <v>200131.3</v>
      </c>
      <c r="D7" s="145" t="n">
        <v>219670.06</v>
      </c>
      <c r="E7" s="163">
        <f>IFERROR((SUM(D7-C7)/C7),0)</f>
        <v/>
      </c>
      <c r="F7" s="166" t="n">
        <v>1778</v>
      </c>
      <c r="G7" s="63">
        <f>IFERROR(D7/F7,0)</f>
        <v/>
      </c>
      <c r="H7" s="61" t="n">
        <v>9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Jan'!H7)</f>
        <v/>
      </c>
      <c r="K7" s="172">
        <f>IFERROR(J7/SUM(F7),0)</f>
        <v/>
      </c>
      <c r="L7" s="188" t="n">
        <v>24002.39</v>
      </c>
      <c r="M7" s="89">
        <f>SUM(L7/D7)</f>
        <v/>
      </c>
      <c r="N7" s="130" t="n">
        <v>14657.88</v>
      </c>
      <c r="O7" s="26" t="n"/>
    </row>
    <row r="8" ht="15.6" customHeight="1">
      <c r="A8" s="409" t="inlineStr">
        <is>
          <t>Melville</t>
        </is>
      </c>
      <c r="B8" s="200">
        <f>'20 Jan - 26 Jan'!D8</f>
        <v/>
      </c>
      <c r="C8" s="73" t="n">
        <v>100729.45</v>
      </c>
      <c r="D8" s="145" t="n">
        <v>108989.56</v>
      </c>
      <c r="E8" s="163">
        <f>IFERROR((SUM(D8-C8)/C8),0)</f>
        <v/>
      </c>
      <c r="F8" s="166" t="n">
        <v>729</v>
      </c>
      <c r="G8" s="63">
        <f>IFERROR(D8/F8,0)</f>
        <v/>
      </c>
      <c r="H8" s="61" t="n">
        <v>19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Jan'!H8)</f>
        <v/>
      </c>
      <c r="K8" s="172">
        <f>IFERROR(J8/SUM(F8),0)</f>
        <v/>
      </c>
      <c r="L8" s="188" t="n">
        <v>28435.3</v>
      </c>
      <c r="M8" s="89">
        <f>SUM(L8/D8)</f>
        <v/>
      </c>
      <c r="N8" s="130" t="n">
        <v>5571.5</v>
      </c>
      <c r="O8" s="26" t="n"/>
    </row>
    <row r="9" ht="15.6" customHeight="1">
      <c r="A9" s="409" t="inlineStr">
        <is>
          <t>Rosebank</t>
        </is>
      </c>
      <c r="B9" s="200">
        <f>'20 Jan - 26 Jan'!D9</f>
        <v/>
      </c>
      <c r="C9" s="73" t="n">
        <v>329808.99</v>
      </c>
      <c r="D9" s="145" t="n">
        <v>304035.96</v>
      </c>
      <c r="E9" s="163">
        <f>IFERROR((SUM(D9-C9)/C9),0)</f>
        <v/>
      </c>
      <c r="F9" s="166" t="n">
        <v>2158</v>
      </c>
      <c r="G9" s="63">
        <f>IFERROR(D9/F9,0)</f>
        <v/>
      </c>
      <c r="H9" s="61" t="n">
        <v>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Jan'!H9)</f>
        <v/>
      </c>
      <c r="K9" s="172">
        <f>IFERROR(J9/SUM(F9),0)</f>
        <v/>
      </c>
      <c r="L9" s="188" t="n">
        <v>19816.17</v>
      </c>
      <c r="M9" s="89">
        <f>SUM(L9/D9)</f>
        <v/>
      </c>
      <c r="N9" s="130" t="n">
        <v>11946.5</v>
      </c>
      <c r="O9" s="26" t="n"/>
    </row>
    <row r="10" ht="15.6" customHeight="1">
      <c r="A10" s="409" t="inlineStr">
        <is>
          <t xml:space="preserve">Waterkloof </t>
        </is>
      </c>
      <c r="B10" s="200">
        <f>'20 Jan - 26 Jan'!D10</f>
        <v/>
      </c>
      <c r="C10" s="73" t="n">
        <v>149771.03</v>
      </c>
      <c r="D10" s="145" t="n">
        <v>157218.01</v>
      </c>
      <c r="E10" s="163">
        <f>IFERROR((SUM(D10-C10)/C10),0)</f>
        <v/>
      </c>
      <c r="F10" s="166" t="n">
        <v>1095</v>
      </c>
      <c r="G10" s="63">
        <f>IFERROR(D10/F10,0)</f>
        <v/>
      </c>
      <c r="H10" s="61" t="n">
        <v>43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Jan'!H10)</f>
        <v/>
      </c>
      <c r="K10" s="172">
        <f>IFERROR(J10/SUM(F10),0)</f>
        <v/>
      </c>
      <c r="L10" s="188" t="n">
        <v>42999.52</v>
      </c>
      <c r="M10" s="89">
        <f>SUM(L10/D10)</f>
        <v/>
      </c>
      <c r="N10" s="130" t="n">
        <v>9056.4</v>
      </c>
      <c r="O10" s="26" t="n"/>
    </row>
    <row r="11" ht="15.6" customHeight="1">
      <c r="A11" s="409" t="inlineStr">
        <is>
          <t>Eagles Landing</t>
        </is>
      </c>
      <c r="B11" s="200">
        <f>'20 Jan - 26 Jan'!D11</f>
        <v/>
      </c>
      <c r="C11" s="73" t="n">
        <v>335261.97</v>
      </c>
      <c r="D11" s="145" t="n">
        <v>317481.25</v>
      </c>
      <c r="E11" s="163">
        <f>IFERROR((SUM(D11-C11)/C11),0)</f>
        <v/>
      </c>
      <c r="F11" s="166" t="n">
        <v>2068</v>
      </c>
      <c r="G11" s="63">
        <f>IFERROR(D11/F11,0)</f>
        <v/>
      </c>
      <c r="H11" s="61" t="n">
        <v>8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Jan'!H11)</f>
        <v/>
      </c>
      <c r="K11" s="172">
        <f>IFERROR(J11/SUM(F11),0)</f>
        <v/>
      </c>
      <c r="L11" s="188" t="n">
        <v>50996.78</v>
      </c>
      <c r="M11" s="89">
        <f>SUM(L11/D11)</f>
        <v/>
      </c>
      <c r="N11" s="130" t="n">
        <v>21153.8</v>
      </c>
      <c r="O11" s="26" t="n"/>
    </row>
    <row r="12" ht="15.6" customHeight="1">
      <c r="A12" s="198" t="inlineStr">
        <is>
          <t>Stellenbosch</t>
        </is>
      </c>
      <c r="B12" s="200">
        <f>'20 Jan - 26 Jan'!D12</f>
        <v/>
      </c>
      <c r="C12" s="73" t="n">
        <v>154730.66</v>
      </c>
      <c r="D12" s="145" t="n">
        <v>171217.16</v>
      </c>
      <c r="E12" s="163">
        <f>IFERROR((SUM(D12-C12)/C12),0)</f>
        <v/>
      </c>
      <c r="F12" s="166" t="n">
        <v>1368</v>
      </c>
      <c r="G12" s="63">
        <f>IFERROR(D12/F12,0)</f>
        <v/>
      </c>
      <c r="H12" s="61" t="n">
        <v>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Jan'!H12)</f>
        <v/>
      </c>
      <c r="K12" s="172">
        <f>IFERROR(J12/SUM(F12),0)</f>
        <v/>
      </c>
      <c r="L12" s="188" t="n">
        <v>25420.87</v>
      </c>
      <c r="M12" s="89">
        <f>SUM(L12/D12)</f>
        <v/>
      </c>
      <c r="N12" s="130" t="n">
        <v>15847.4</v>
      </c>
      <c r="O12" s="26" t="n"/>
    </row>
    <row r="13" ht="15.6" customHeight="1">
      <c r="A13" s="198" t="inlineStr">
        <is>
          <t>Lynnwood</t>
        </is>
      </c>
      <c r="B13" s="200">
        <f>'20 Jan - 26 Jan'!D13</f>
        <v/>
      </c>
      <c r="C13" s="73" t="n">
        <v>227584.22</v>
      </c>
      <c r="D13" s="145" t="n">
        <v>252185.47</v>
      </c>
      <c r="E13" s="163">
        <f>IFERROR((SUM(D13-C13)/C13),0)</f>
        <v/>
      </c>
      <c r="F13" s="166" t="n">
        <v>1840</v>
      </c>
      <c r="G13" s="63">
        <f>IFERROR(D13/F13,0)</f>
        <v/>
      </c>
      <c r="H13" s="61" t="n">
        <v>13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Jan'!H13)</f>
        <v/>
      </c>
      <c r="K13" s="172">
        <f>IFERROR(J13/SUM(F13),0)</f>
        <v/>
      </c>
      <c r="L13" s="188" t="n">
        <v>33408.61</v>
      </c>
      <c r="M13" s="89">
        <f>SUM(L13/D13)</f>
        <v/>
      </c>
      <c r="N13" s="130" t="n">
        <v>14533</v>
      </c>
      <c r="O13" s="26" t="n"/>
    </row>
    <row r="14" hidden="1" ht="15.6" customHeight="1">
      <c r="A14" s="198" t="inlineStr">
        <is>
          <t>Wellington</t>
        </is>
      </c>
      <c r="B14" s="200">
        <f>'20 Jan - 26 Jan'!D14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'20 Jan - 26 Jan'!D15</f>
        <v/>
      </c>
      <c r="C15" s="73" t="n">
        <v>165985.17</v>
      </c>
      <c r="D15" s="145" t="n">
        <v>177284.39</v>
      </c>
      <c r="E15" s="163">
        <f>IFERROR((SUM(D15-C15)/C15),0)</f>
        <v/>
      </c>
      <c r="F15" s="166" t="n">
        <v>1489</v>
      </c>
      <c r="G15" s="63">
        <f>IFERROR(D15/F15,0)</f>
        <v/>
      </c>
      <c r="H15" s="61" t="n">
        <v>8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Jan'!H15)</f>
        <v/>
      </c>
      <c r="K15" s="172">
        <f>IFERROR(J15/SUM(F15),0)</f>
        <v/>
      </c>
      <c r="L15" s="188" t="n">
        <v>11958.17</v>
      </c>
      <c r="M15" s="89">
        <f>SUM(L15/D15)</f>
        <v/>
      </c>
      <c r="N15" s="130" t="n">
        <v>8300.700000000001</v>
      </c>
      <c r="O15" s="9" t="n"/>
    </row>
    <row r="16" ht="15.6" customHeight="1">
      <c r="A16" s="198" t="inlineStr">
        <is>
          <t>Kyalami Corner</t>
        </is>
      </c>
      <c r="B16" s="200">
        <f>'20 Jan - 26 Jan'!D16</f>
        <v/>
      </c>
      <c r="C16" s="73" t="n">
        <v>126081.73</v>
      </c>
      <c r="D16" s="145" t="n">
        <v>129067.81</v>
      </c>
      <c r="E16" s="163">
        <f>IFERROR((SUM(D16-C16)/C16),0)</f>
        <v/>
      </c>
      <c r="F16" s="166" t="n">
        <v>843</v>
      </c>
      <c r="G16" s="63">
        <f>IFERROR(D16/F16,0)</f>
        <v/>
      </c>
      <c r="H16" s="61" t="n">
        <v>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Jan'!H16)</f>
        <v/>
      </c>
      <c r="K16" s="172">
        <f>IFERROR(J16/SUM(F16),0)</f>
        <v/>
      </c>
      <c r="L16" s="188" t="n">
        <v>24395.61</v>
      </c>
      <c r="M16" s="89">
        <f>SUM(L16/D16)</f>
        <v/>
      </c>
      <c r="N16" s="130" t="n">
        <v>10357.2</v>
      </c>
      <c r="O16" s="9" t="n"/>
    </row>
    <row r="17" ht="15.6" customHeight="1">
      <c r="A17" s="198" t="inlineStr">
        <is>
          <t>Paulshof</t>
        </is>
      </c>
      <c r="B17" s="200">
        <f>'20 Jan - 26 Jan'!D17</f>
        <v/>
      </c>
      <c r="C17" s="73" t="n">
        <v>206209.12</v>
      </c>
      <c r="D17" s="145" t="n">
        <v>226675.96</v>
      </c>
      <c r="E17" s="163">
        <f>IFERROR((SUM(D17-C17)/C17),0)</f>
        <v/>
      </c>
      <c r="F17" s="166" t="n">
        <v>1532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Jan'!H17)</f>
        <v/>
      </c>
      <c r="K17" s="172">
        <f>IFERROR(J17/SUM(F17),0)</f>
        <v/>
      </c>
      <c r="L17" s="188" t="n">
        <v>28723.87</v>
      </c>
      <c r="M17" s="89">
        <f>SUM(L17/D17)</f>
        <v/>
      </c>
      <c r="N17" s="130" t="n">
        <v>14182.95</v>
      </c>
      <c r="O17" s="9" t="n"/>
    </row>
    <row r="18" ht="15.6" customHeight="1">
      <c r="A18" s="198" t="inlineStr">
        <is>
          <t>Queenswood</t>
        </is>
      </c>
      <c r="B18" s="200">
        <f>'20 Jan - 26 Jan'!D18</f>
        <v/>
      </c>
      <c r="C18" s="73" t="n">
        <v>51408.8</v>
      </c>
      <c r="D18" s="145" t="n">
        <v>189390.06</v>
      </c>
      <c r="E18" s="163">
        <f>IFERROR((SUM(D18-C18)/C18),0)</f>
        <v/>
      </c>
      <c r="F18" s="166" t="n">
        <v>1510</v>
      </c>
      <c r="G18" s="63">
        <f>IFERROR(D18/F18,0)</f>
        <v/>
      </c>
      <c r="H18" s="61" t="n">
        <v>29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Jan'!H18)</f>
        <v/>
      </c>
      <c r="K18" s="172">
        <f>IFERROR(J18/SUM(F18),0)</f>
        <v/>
      </c>
      <c r="L18" s="188" t="n">
        <v>28869.96</v>
      </c>
      <c r="M18" s="89">
        <f>SUM(L18/D18)</f>
        <v/>
      </c>
      <c r="N18" s="130" t="n">
        <v>6832.96</v>
      </c>
      <c r="O18" s="9" t="n"/>
    </row>
    <row r="19" ht="16.2" customHeight="1" thickBot="1">
      <c r="A19" s="203" t="inlineStr">
        <is>
          <t>Centurion</t>
        </is>
      </c>
      <c r="B19" s="201">
        <f>'20 Jan - 26 Jan'!D19</f>
        <v/>
      </c>
      <c r="C19" s="205" t="n"/>
      <c r="D19" s="206" t="n">
        <v>126973.02</v>
      </c>
      <c r="E19" s="207">
        <f>IFERROR((SUM(D19-C19)/C19),0)</f>
        <v/>
      </c>
      <c r="F19" s="208" t="n">
        <v>1137</v>
      </c>
      <c r="G19" s="209">
        <f>IFERROR(D19/F19,0)</f>
        <v/>
      </c>
      <c r="H19" s="210" t="n">
        <v>14</v>
      </c>
      <c r="I19" s="211">
        <f>IFERROR(H19/F19,0)</f>
        <v/>
      </c>
      <c r="J19" s="212">
        <f>H19+'23 Dec - 29 Dec'!H19+'30 Dec - 5 Jan'!H19+'6 Jan - 12 Jan'!H19+'13 Jan - 19 Jan'!H19+'20 Jan - 26 Jan'!H19</f>
        <v/>
      </c>
      <c r="K19" s="213">
        <f>IFERROR(J19/SUM(F19),0)</f>
        <v/>
      </c>
      <c r="L19" s="214" t="n">
        <v>23954.48</v>
      </c>
      <c r="M19" s="215">
        <f>SUM(L19/D19)</f>
        <v/>
      </c>
      <c r="N19" s="216" t="n">
        <v>11334.55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'27 Jan - 2 Feb'!D6</f>
        <v/>
      </c>
      <c r="C6" s="123" t="n">
        <v>243896.08</v>
      </c>
      <c r="D6" s="197" t="n">
        <v>237293.22</v>
      </c>
      <c r="E6" s="162">
        <f>IFERROR((SUM(D6-C6)/C6),0)</f>
        <v/>
      </c>
      <c r="F6" s="165" t="n">
        <v>2020</v>
      </c>
      <c r="G6" s="124">
        <f>IFERROR(D6/F6,0)</f>
        <v/>
      </c>
      <c r="H6" s="125" t="n">
        <v>20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Feb'!H6)</f>
        <v/>
      </c>
      <c r="K6" s="171">
        <f>IFERROR(J6/SUM(F6),0)</f>
        <v/>
      </c>
      <c r="L6" s="191" t="n">
        <v>37589.91</v>
      </c>
      <c r="M6" s="128">
        <f>SUM(L6/D6)</f>
        <v/>
      </c>
      <c r="N6" s="129" t="n">
        <v>12274.4</v>
      </c>
      <c r="O6" s="26" t="n"/>
    </row>
    <row r="7" ht="15.6" customHeight="1">
      <c r="A7" s="409" t="inlineStr">
        <is>
          <t>Melrose Arch</t>
        </is>
      </c>
      <c r="B7" s="200">
        <f>'27 Jan - 2 Feb'!D7</f>
        <v/>
      </c>
      <c r="C7" s="73" t="n">
        <v>203529.46</v>
      </c>
      <c r="D7" s="145" t="n">
        <v>220030.82</v>
      </c>
      <c r="E7" s="163">
        <f>IFERROR((SUM(D7-C7)/C7),0)</f>
        <v/>
      </c>
      <c r="F7" s="166" t="n">
        <v>1539</v>
      </c>
      <c r="G7" s="63">
        <f>IFERROR(D7/F7,0)</f>
        <v/>
      </c>
      <c r="H7" s="61" t="n">
        <v>2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Feb'!H7)</f>
        <v/>
      </c>
      <c r="K7" s="172">
        <f>IFERROR(J7/SUM(F7),0)</f>
        <v/>
      </c>
      <c r="L7" s="188" t="n">
        <v>35456</v>
      </c>
      <c r="M7" s="89">
        <f>SUM(L7/D7)</f>
        <v/>
      </c>
      <c r="N7" s="130" t="n">
        <v>19093.55</v>
      </c>
      <c r="O7" s="26" t="n"/>
    </row>
    <row r="8" ht="15.6" customHeight="1">
      <c r="A8" s="409" t="inlineStr">
        <is>
          <t>Melville</t>
        </is>
      </c>
      <c r="B8" s="200">
        <f>'27 Jan - 2 Feb'!D8</f>
        <v/>
      </c>
      <c r="C8" s="73" t="n">
        <v>83038.85000000001</v>
      </c>
      <c r="D8" s="145" t="n">
        <v>109046.25</v>
      </c>
      <c r="E8" s="163">
        <f>IFERROR((SUM(D8-C8)/C8),0)</f>
        <v/>
      </c>
      <c r="F8" s="166" t="n">
        <v>721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Feb'!H8)</f>
        <v/>
      </c>
      <c r="K8" s="172">
        <f>IFERROR(J8/SUM(F8),0)</f>
        <v/>
      </c>
      <c r="L8" s="188" t="n">
        <v>31922.47</v>
      </c>
      <c r="M8" s="89">
        <f>SUM(L8/D8)</f>
        <v/>
      </c>
      <c r="N8" s="130" t="n">
        <v>4933.2</v>
      </c>
      <c r="O8" s="26" t="n"/>
    </row>
    <row r="9" ht="15.6" customHeight="1">
      <c r="A9" s="410" t="inlineStr">
        <is>
          <t>Rosebank</t>
        </is>
      </c>
      <c r="B9" s="224">
        <f>'27 Jan - 2 Feb'!D9</f>
        <v/>
      </c>
      <c r="C9" s="224" t="n">
        <v>313205.83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'27 Jan - 2 Feb'!D10</f>
        <v/>
      </c>
      <c r="C10" s="73" t="n">
        <v>149072.21</v>
      </c>
      <c r="D10" s="145" t="n">
        <v>162465.92</v>
      </c>
      <c r="E10" s="163">
        <f>IFERROR((SUM(D10-C10)/C10),0)</f>
        <v/>
      </c>
      <c r="F10" s="166" t="n">
        <v>1160</v>
      </c>
      <c r="G10" s="63">
        <f>IFERROR(D10/F10,0)</f>
        <v/>
      </c>
      <c r="H10" s="61" t="n">
        <v>31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Feb'!H10)</f>
        <v/>
      </c>
      <c r="K10" s="172">
        <f>IFERROR(J10/SUM(F10),0)</f>
        <v/>
      </c>
      <c r="L10" s="188" t="n">
        <v>38840.48</v>
      </c>
      <c r="M10" s="89">
        <f>SUM(L10/D10)</f>
        <v/>
      </c>
      <c r="N10" s="130" t="n">
        <v>13406</v>
      </c>
      <c r="O10" s="26" t="n"/>
    </row>
    <row r="11" ht="15.6" customHeight="1">
      <c r="A11" s="409" t="inlineStr">
        <is>
          <t>Eagles Landing</t>
        </is>
      </c>
      <c r="B11" s="200">
        <f>'27 Jan - 2 Feb'!D11</f>
        <v/>
      </c>
      <c r="C11" s="73" t="n">
        <v>329753.61</v>
      </c>
      <c r="D11" s="145" t="n">
        <v>296440.63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22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Feb'!H11)</f>
        <v/>
      </c>
      <c r="K11" s="172">
        <f>IFERROR(J11/SUM(F11),0)</f>
        <v/>
      </c>
      <c r="L11" s="188" t="n">
        <v>51882.65</v>
      </c>
      <c r="M11" s="89">
        <f>SUM(L11/D11)</f>
        <v/>
      </c>
      <c r="N11" s="130" t="n">
        <v>18528.2</v>
      </c>
      <c r="O11" s="26" t="n"/>
    </row>
    <row r="12" ht="15.6" customHeight="1">
      <c r="A12" s="198" t="inlineStr">
        <is>
          <t>Stellenbosch</t>
        </is>
      </c>
      <c r="B12" s="200">
        <f>'27 Jan - 2 Feb'!D12</f>
        <v/>
      </c>
      <c r="C12" s="73" t="n">
        <v>144397.12</v>
      </c>
      <c r="D12" s="145" t="n">
        <v>153633.8</v>
      </c>
      <c r="E12" s="163">
        <f>IFERROR((SUM(D12-C12)/C12),0)</f>
        <v/>
      </c>
      <c r="F12" s="166" t="n">
        <v>1241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Feb'!H12)</f>
        <v/>
      </c>
      <c r="K12" s="172">
        <f>IFERROR(J12/SUM(F12),0)</f>
        <v/>
      </c>
      <c r="L12" s="188" t="n">
        <v>18238.43</v>
      </c>
      <c r="M12" s="89">
        <f>SUM(L12/D12)</f>
        <v/>
      </c>
      <c r="N12" s="130" t="n">
        <v>9947.5</v>
      </c>
      <c r="O12" s="26" t="n"/>
    </row>
    <row r="13" ht="15.6" customHeight="1">
      <c r="A13" s="198" t="inlineStr">
        <is>
          <t>Lynnwood</t>
        </is>
      </c>
      <c r="B13" s="200">
        <f>'27 Jan - 2 Feb'!D13</f>
        <v/>
      </c>
      <c r="C13" s="73" t="n">
        <v>219176.66</v>
      </c>
      <c r="D13" s="145" t="n">
        <v>206977.96</v>
      </c>
      <c r="E13" s="163">
        <f>IFERROR((SUM(D13-C13)/C13),0)</f>
        <v/>
      </c>
      <c r="F13" s="166" t="n">
        <v>1576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Feb'!H13)</f>
        <v/>
      </c>
      <c r="K13" s="172">
        <f>IFERROR(J13/SUM(F13),0)</f>
        <v/>
      </c>
      <c r="L13" s="188" t="n">
        <v>33907.3</v>
      </c>
      <c r="M13" s="89">
        <f>SUM(L13/D13)</f>
        <v/>
      </c>
      <c r="N13" s="130" t="n">
        <v>14169</v>
      </c>
      <c r="O13" s="26" t="n"/>
    </row>
    <row r="14" hidden="1" ht="15.6" customHeight="1">
      <c r="A14" s="198" t="inlineStr">
        <is>
          <t>Wellington</t>
        </is>
      </c>
      <c r="B14" s="200">
        <f>'27 Jan - 2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'27 Jan - 2 Feb'!D15</f>
        <v/>
      </c>
      <c r="C15" s="73" t="n">
        <v>175807.47</v>
      </c>
      <c r="D15" s="145" t="n">
        <v>184245.92</v>
      </c>
      <c r="E15" s="163">
        <f>IFERROR((SUM(D15-C15)/C15),0)</f>
        <v/>
      </c>
      <c r="F15" s="166" t="n">
        <v>1514</v>
      </c>
      <c r="G15" s="63">
        <f>IFERROR(D15/F15,0)</f>
        <v/>
      </c>
      <c r="H15" s="61" t="n">
        <v>5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Feb'!H15)</f>
        <v/>
      </c>
      <c r="K15" s="172">
        <f>IFERROR(J15/SUM(F15),0)</f>
        <v/>
      </c>
      <c r="L15" s="188" t="n">
        <v>9886.84</v>
      </c>
      <c r="M15" s="89">
        <f>SUM(L15/D15)</f>
        <v/>
      </c>
      <c r="N15" s="130" t="n">
        <v>6339.8</v>
      </c>
      <c r="O15" s="9" t="n"/>
    </row>
    <row r="16" ht="15.6" customHeight="1">
      <c r="A16" s="198" t="inlineStr">
        <is>
          <t>Kyalami Corner</t>
        </is>
      </c>
      <c r="B16" s="200">
        <f>'27 Jan - 2 Feb'!D16</f>
        <v/>
      </c>
      <c r="C16" s="73" t="n">
        <v>146823.91</v>
      </c>
      <c r="D16" s="145" t="n">
        <v>136872.09</v>
      </c>
      <c r="E16" s="163">
        <f>IFERROR((SUM(D16-C16)/C16),0)</f>
        <v/>
      </c>
      <c r="F16" s="166" t="n">
        <v>915</v>
      </c>
      <c r="G16" s="63">
        <f>IFERROR(D16/F16,0)</f>
        <v/>
      </c>
      <c r="H16" s="61" t="n">
        <v>16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Feb'!H16)</f>
        <v/>
      </c>
      <c r="K16" s="172">
        <f>IFERROR(J16/SUM(F16),0)</f>
        <v/>
      </c>
      <c r="L16" s="188" t="n">
        <v>23744.3</v>
      </c>
      <c r="M16" s="89">
        <f>SUM(L16/D16)</f>
        <v/>
      </c>
      <c r="N16" s="130" t="n">
        <v>12609</v>
      </c>
      <c r="O16" s="9" t="n"/>
    </row>
    <row r="17" ht="15.6" customHeight="1">
      <c r="A17" s="198" t="inlineStr">
        <is>
          <t>Paulshof</t>
        </is>
      </c>
      <c r="B17" s="200">
        <f>'27 Jan - 2 Feb'!D17</f>
        <v/>
      </c>
      <c r="C17" s="73" t="n">
        <v>203176.33</v>
      </c>
      <c r="D17" s="145" t="n">
        <v>183593.77</v>
      </c>
      <c r="E17" s="163">
        <f>IFERROR((SUM(D17-C17)/C17),0)</f>
        <v/>
      </c>
      <c r="F17" s="166" t="n">
        <v>1292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Feb'!H17)</f>
        <v/>
      </c>
      <c r="K17" s="172">
        <f>IFERROR(J17/SUM(F17),0)</f>
        <v/>
      </c>
      <c r="L17" s="188" t="n">
        <v>36777.74</v>
      </c>
      <c r="M17" s="89">
        <f>SUM(L17/D17)</f>
        <v/>
      </c>
      <c r="N17" s="130" t="n">
        <v>10922.5</v>
      </c>
      <c r="O17" s="9" t="n"/>
    </row>
    <row r="18" ht="15.6" customHeight="1">
      <c r="A18" s="198" t="inlineStr">
        <is>
          <t>Queenswood</t>
        </is>
      </c>
      <c r="B18" s="200">
        <f>'27 Jan - 2 Feb'!D18</f>
        <v/>
      </c>
      <c r="C18" s="73" t="n">
        <v>188936.11</v>
      </c>
      <c r="D18" s="145" t="n">
        <v>176775.06</v>
      </c>
      <c r="E18" s="163">
        <f>IFERROR((SUM(D18-C18)/C18),0)</f>
        <v/>
      </c>
      <c r="F18" s="166" t="n">
        <v>1418</v>
      </c>
      <c r="G18" s="63">
        <f>IFERROR(D18/F18,0)</f>
        <v/>
      </c>
      <c r="H18" s="61" t="n">
        <v>28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Feb'!H18)</f>
        <v/>
      </c>
      <c r="K18" s="172">
        <f>IFERROR(J18/SUM(F18),0)</f>
        <v/>
      </c>
      <c r="L18" s="188" t="n">
        <v>23547.13</v>
      </c>
      <c r="M18" s="89">
        <f>SUM(L18/D18)</f>
        <v/>
      </c>
      <c r="N18" s="130" t="n">
        <v>7078.51</v>
      </c>
      <c r="O18" s="9" t="n"/>
    </row>
    <row r="19" ht="16.2" customHeight="1" thickBot="1">
      <c r="A19" s="203" t="inlineStr">
        <is>
          <t>Centurion</t>
        </is>
      </c>
      <c r="B19" s="201">
        <f>'27 Jan - 2 Feb'!D19</f>
        <v/>
      </c>
      <c r="C19" s="205" t="n">
        <v>0</v>
      </c>
      <c r="D19" s="206" t="n">
        <v>119677</v>
      </c>
      <c r="E19" s="207">
        <f>IFERROR((SUM(D19-C19)/C19),0)</f>
        <v/>
      </c>
      <c r="F19" s="208" t="n">
        <v>1037</v>
      </c>
      <c r="G19" s="209">
        <f>IFERROR(D19/F19,0)</f>
        <v/>
      </c>
      <c r="H19" s="210" t="n">
        <v>15</v>
      </c>
      <c r="I19" s="211">
        <f>IFERROR(H19/F19,0)</f>
        <v/>
      </c>
      <c r="J19" s="212">
        <f>H19+'23 Dec - 29 Dec'!H19+'30 Dec - 5 Jan'!H19+'6 Jan - 12 Jan'!H19+'13 Jan - 19 Jan'!H19+'20 Jan - 26 Jan'!H19+'27 Jan - 2 Feb'!H19</f>
        <v/>
      </c>
      <c r="K19" s="213">
        <f>IFERROR(J19/SUM(F19),0)</f>
        <v/>
      </c>
      <c r="L19" s="214" t="n">
        <v>19611.96</v>
      </c>
      <c r="M19" s="215">
        <f>SUM(L19/D19)</f>
        <v/>
      </c>
      <c r="N19" s="216" t="n">
        <v>15801.3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'3 Feb - 9 Feb'!D6</f>
        <v/>
      </c>
      <c r="C6" s="123" t="n">
        <v>266174.9</v>
      </c>
      <c r="D6" s="197" t="n">
        <v>280895.78</v>
      </c>
      <c r="E6" s="162">
        <f>IFERROR((SUM(D6-C6)/C6),0)</f>
        <v/>
      </c>
      <c r="F6" s="165" t="n">
        <v>2565</v>
      </c>
      <c r="G6" s="124">
        <f>IFERROR(D6/F6,0)</f>
        <v/>
      </c>
      <c r="H6" s="125" t="n">
        <v>19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Feb'!H6)</f>
        <v/>
      </c>
      <c r="K6" s="171">
        <f>IFERROR(J6/SUM(F6),0)</f>
        <v/>
      </c>
      <c r="L6" s="191" t="n">
        <v>39026.22</v>
      </c>
      <c r="M6" s="128">
        <f>SUM(L6/D6)</f>
        <v/>
      </c>
      <c r="N6" s="129" t="n">
        <v>12549.15</v>
      </c>
      <c r="O6" s="26" t="n"/>
    </row>
    <row r="7" ht="15.6" customHeight="1">
      <c r="A7" s="409" t="inlineStr">
        <is>
          <t>Melrose Arch</t>
        </is>
      </c>
      <c r="B7" s="200">
        <f>'3 Feb - 9 Feb'!D7</f>
        <v/>
      </c>
      <c r="C7" s="73" t="n">
        <v>242108.65</v>
      </c>
      <c r="D7" s="145" t="n">
        <v>224075.5</v>
      </c>
      <c r="E7" s="163">
        <f>IFERROR((SUM(D7-C7)/C7),0)</f>
        <v/>
      </c>
      <c r="F7" s="166" t="n">
        <v>1617</v>
      </c>
      <c r="G7" s="63">
        <f>IFERROR(D7/F7,0)</f>
        <v/>
      </c>
      <c r="H7" s="61" t="n">
        <v>11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Feb'!H7)</f>
        <v/>
      </c>
      <c r="K7" s="172">
        <f>IFERROR(J7/SUM(F7),0)</f>
        <v/>
      </c>
      <c r="L7" s="188" t="n">
        <v>33761.26</v>
      </c>
      <c r="M7" s="89">
        <f>SUM(L7/D7)</f>
        <v/>
      </c>
      <c r="N7" s="130" t="n">
        <v>16257.95</v>
      </c>
      <c r="O7" s="26" t="n"/>
    </row>
    <row r="8" ht="15.6" customHeight="1">
      <c r="A8" s="409" t="inlineStr">
        <is>
          <t>Melville</t>
        </is>
      </c>
      <c r="B8" s="200">
        <f>'3 Feb - 9 Feb'!D8</f>
        <v/>
      </c>
      <c r="C8" s="73" t="n">
        <v>118438.43</v>
      </c>
      <c r="D8" s="145" t="n">
        <v>133786.9</v>
      </c>
      <c r="E8" s="163">
        <f>IFERROR((SUM(D8-C8)/C8),0)</f>
        <v/>
      </c>
      <c r="F8" s="166" t="n">
        <v>896</v>
      </c>
      <c r="G8" s="63">
        <f>IFERROR(D8/F8,0)</f>
        <v/>
      </c>
      <c r="H8" s="61" t="n">
        <v>14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Feb'!H8)</f>
        <v/>
      </c>
      <c r="K8" s="172">
        <f>IFERROR(J8/SUM(F8),0)</f>
        <v/>
      </c>
      <c r="L8" s="188" t="n">
        <v>30738.48</v>
      </c>
      <c r="M8" s="89">
        <f>SUM(L8/D8)</f>
        <v/>
      </c>
      <c r="N8" s="130" t="n">
        <v>5201.7</v>
      </c>
      <c r="O8" s="26" t="n"/>
    </row>
    <row r="9" ht="15.6" customHeight="1">
      <c r="A9" s="410" t="inlineStr">
        <is>
          <t>Rosebank</t>
        </is>
      </c>
      <c r="B9" s="224">
        <f>'3 Feb - 9 Feb'!D9</f>
        <v/>
      </c>
      <c r="C9" s="224" t="n">
        <v>342968.68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'3 Feb - 9 Feb'!D10</f>
        <v/>
      </c>
      <c r="C10" s="73" t="n">
        <v>165657.87</v>
      </c>
      <c r="D10" s="145" t="n">
        <v>182605.54</v>
      </c>
      <c r="E10" s="163">
        <f>IFERROR((SUM(D10-C10)/C10),0)</f>
        <v/>
      </c>
      <c r="F10" s="166" t="n">
        <v>1217</v>
      </c>
      <c r="G10" s="63">
        <f>IFERROR(D10/F10,0)</f>
        <v/>
      </c>
      <c r="H10" s="61" t="n">
        <v>23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Feb'!H10)</f>
        <v/>
      </c>
      <c r="K10" s="172">
        <f>IFERROR(J10/SUM(F10),0)</f>
        <v/>
      </c>
      <c r="L10" s="188" t="n">
        <v>37350.21</v>
      </c>
      <c r="M10" s="89">
        <f>SUM(L10/D10)</f>
        <v/>
      </c>
      <c r="N10" s="130" t="n">
        <v>10344.5</v>
      </c>
      <c r="O10" s="26" t="n"/>
    </row>
    <row r="11" ht="15.6" customHeight="1">
      <c r="A11" s="409" t="inlineStr">
        <is>
          <t>Eagles Landing</t>
        </is>
      </c>
      <c r="B11" s="200">
        <f>'3 Feb - 9 Feb'!D11</f>
        <v/>
      </c>
      <c r="C11" s="73" t="n">
        <v>344555.3</v>
      </c>
      <c r="D11" s="145" t="n">
        <v>308009.72</v>
      </c>
      <c r="E11" s="163">
        <f>IFERROR((SUM(D11-C11)/C11),0)</f>
        <v/>
      </c>
      <c r="F11" s="166" t="n">
        <v>1929</v>
      </c>
      <c r="G11" s="63">
        <f>IFERROR(D11/F11,0)</f>
        <v/>
      </c>
      <c r="H11" s="61" t="n">
        <v>36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Feb'!H11)</f>
        <v/>
      </c>
      <c r="K11" s="172">
        <f>IFERROR(J11/SUM(F11),0)</f>
        <v/>
      </c>
      <c r="L11" s="188" t="n">
        <v>47814.09</v>
      </c>
      <c r="M11" s="89">
        <f>SUM(L11/D11)</f>
        <v/>
      </c>
      <c r="N11" s="130" t="n">
        <v>16477.7</v>
      </c>
      <c r="O11" s="26" t="n"/>
    </row>
    <row r="12" ht="15.6" customHeight="1">
      <c r="A12" s="198" t="inlineStr">
        <is>
          <t>Stellenbosch</t>
        </is>
      </c>
      <c r="B12" s="200">
        <f>'3 Feb - 9 Feb'!D12</f>
        <v/>
      </c>
      <c r="C12" s="73" t="n">
        <v>150132.08</v>
      </c>
      <c r="D12" s="145" t="n">
        <v>160405.7</v>
      </c>
      <c r="E12" s="163">
        <f>IFERROR((SUM(D12-C12)/C12),0)</f>
        <v/>
      </c>
      <c r="F12" s="166" t="n">
        <v>1316</v>
      </c>
      <c r="G12" s="63">
        <f>IFERROR(D12/F12,0)</f>
        <v/>
      </c>
      <c r="H12" s="61" t="n">
        <v>6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Feb'!H12)</f>
        <v/>
      </c>
      <c r="K12" s="172">
        <f>IFERROR(J12/SUM(F12),0)</f>
        <v/>
      </c>
      <c r="L12" s="188" t="n">
        <v>23855.99</v>
      </c>
      <c r="M12" s="89">
        <f>SUM(L12/D12)</f>
        <v/>
      </c>
      <c r="N12" s="130" t="n">
        <v>14025.8</v>
      </c>
      <c r="O12" s="26" t="n"/>
    </row>
    <row r="13" ht="15.6" customHeight="1">
      <c r="A13" s="198" t="inlineStr">
        <is>
          <t>Lynnwood</t>
        </is>
      </c>
      <c r="B13" s="200">
        <f>'3 Feb - 9 Feb'!D13</f>
        <v/>
      </c>
      <c r="C13" s="73" t="n">
        <v>239264.36</v>
      </c>
      <c r="D13" s="145" t="n">
        <v>212599.32</v>
      </c>
      <c r="E13" s="163">
        <f>IFERROR((SUM(D13-C13)/C13),0)</f>
        <v/>
      </c>
      <c r="F13" s="166" t="n">
        <v>1557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Feb'!H13)</f>
        <v/>
      </c>
      <c r="K13" s="172">
        <f>IFERROR(J13/SUM(F13),0)</f>
        <v/>
      </c>
      <c r="L13" s="188" t="n">
        <v>35332.26</v>
      </c>
      <c r="M13" s="89">
        <f>SUM(L13/D13)</f>
        <v/>
      </c>
      <c r="N13" s="130" t="n">
        <v>12442.35</v>
      </c>
      <c r="O13" s="26" t="n"/>
    </row>
    <row r="14" hidden="1" ht="15.6" customHeight="1">
      <c r="A14" s="198" t="inlineStr">
        <is>
          <t>Wellington</t>
        </is>
      </c>
      <c r="B14" s="200">
        <f>'3 Feb - 9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'3 Feb - 9 Feb'!D15</f>
        <v/>
      </c>
      <c r="C15" s="73" t="n">
        <v>201421.91</v>
      </c>
      <c r="D15" s="145" t="n">
        <v>209317.26</v>
      </c>
      <c r="E15" s="163">
        <f>IFERROR((SUM(D15-C15)/C15),0)</f>
        <v/>
      </c>
      <c r="F15" s="166" t="n">
        <v>1825</v>
      </c>
      <c r="G15" s="63">
        <f>IFERROR(D15/F15,0)</f>
        <v/>
      </c>
      <c r="H15" s="61" t="n">
        <v>24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Feb'!H15)</f>
        <v/>
      </c>
      <c r="K15" s="172">
        <f>IFERROR(J15/SUM(F15),0)</f>
        <v/>
      </c>
      <c r="L15" s="188" t="n">
        <v>13850.87</v>
      </c>
      <c r="M15" s="89">
        <f>SUM(L15/D15)</f>
        <v/>
      </c>
      <c r="N15" s="130" t="n">
        <v>6617.3</v>
      </c>
      <c r="O15" s="9" t="n"/>
    </row>
    <row r="16" ht="15.6" customHeight="1">
      <c r="A16" s="198" t="inlineStr">
        <is>
          <t>Kyalami Corner</t>
        </is>
      </c>
      <c r="B16" s="200">
        <f>'3 Feb - 9 Feb'!D16</f>
        <v/>
      </c>
      <c r="C16" s="73" t="n">
        <v>194132.08</v>
      </c>
      <c r="D16" s="145" t="n">
        <v>180239.49</v>
      </c>
      <c r="E16" s="163">
        <f>IFERROR((SUM(D16-C16)/C16),0)</f>
        <v/>
      </c>
      <c r="F16" s="166" t="n">
        <v>1029</v>
      </c>
      <c r="G16" s="63">
        <f>IFERROR(D16/F16,0)</f>
        <v/>
      </c>
      <c r="H16" s="61" t="n">
        <v>18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Feb'!H16)</f>
        <v/>
      </c>
      <c r="K16" s="172">
        <f>IFERROR(J16/SUM(F16),0)</f>
        <v/>
      </c>
      <c r="L16" s="188" t="n">
        <v>21877</v>
      </c>
      <c r="M16" s="89">
        <f>SUM(L16/D16)</f>
        <v/>
      </c>
      <c r="N16" s="130" t="n">
        <v>11009</v>
      </c>
      <c r="O16" s="9" t="n"/>
    </row>
    <row r="17" ht="15.6" customHeight="1">
      <c r="A17" s="198" t="inlineStr">
        <is>
          <t>Paulshof</t>
        </is>
      </c>
      <c r="B17" s="200">
        <f>'3 Feb - 9 Feb'!D17</f>
        <v/>
      </c>
      <c r="C17" s="73" t="n">
        <v>207863</v>
      </c>
      <c r="D17" s="145" t="n">
        <v>209714.26</v>
      </c>
      <c r="E17" s="163">
        <f>IFERROR((SUM(D17-C17)/C17),0)</f>
        <v/>
      </c>
      <c r="F17" s="166" t="n">
        <v>1408</v>
      </c>
      <c r="G17" s="63">
        <f>IFERROR(D17/F17,0)</f>
        <v/>
      </c>
      <c r="H17" s="61" t="n">
        <v>8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Feb'!H17)</f>
        <v/>
      </c>
      <c r="K17" s="172">
        <f>IFERROR(J17/SUM(F17),0)</f>
        <v/>
      </c>
      <c r="L17" s="188" t="n">
        <v>24186.87</v>
      </c>
      <c r="M17" s="89">
        <f>SUM(L17/D17)</f>
        <v/>
      </c>
      <c r="N17" s="130" t="n">
        <v>10569.1</v>
      </c>
      <c r="O17" s="9" t="n"/>
    </row>
    <row r="18" ht="15.6" customHeight="1">
      <c r="A18" s="198" t="inlineStr">
        <is>
          <t>Queenswood</t>
        </is>
      </c>
      <c r="B18" s="200">
        <f>'3 Feb - 9 Feb'!D18</f>
        <v/>
      </c>
      <c r="C18" s="73" t="n">
        <v>179661.94</v>
      </c>
      <c r="D18" s="145" t="n">
        <v>175278.96</v>
      </c>
      <c r="E18" s="163">
        <f>IFERROR((SUM(D18-C18)/C18),0)</f>
        <v/>
      </c>
      <c r="F18" s="166" t="n">
        <v>1403</v>
      </c>
      <c r="G18" s="63">
        <f>IFERROR(D18/F18,0)</f>
        <v/>
      </c>
      <c r="H18" s="61" t="n">
        <v>11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Feb'!H18)</f>
        <v/>
      </c>
      <c r="K18" s="172">
        <f>IFERROR(J18/SUM(F18),0)</f>
        <v/>
      </c>
      <c r="L18" s="188" t="n">
        <v>25940.91</v>
      </c>
      <c r="M18" s="89">
        <f>SUM(L18/D18)</f>
        <v/>
      </c>
      <c r="N18" s="130" t="n">
        <v>7578</v>
      </c>
      <c r="O18" s="9" t="n"/>
    </row>
    <row r="19" ht="16.2" customHeight="1" thickBot="1">
      <c r="A19" s="203" t="inlineStr">
        <is>
          <t>Centurion</t>
        </is>
      </c>
      <c r="B19" s="201">
        <f>'3 Feb - 9 Feb'!D19</f>
        <v/>
      </c>
      <c r="C19" s="205" t="n">
        <v>0</v>
      </c>
      <c r="D19" s="206" t="n">
        <v>136835.4</v>
      </c>
      <c r="E19" s="207">
        <f>IFERROR((SUM(D19-C19)/C19),0)</f>
        <v/>
      </c>
      <c r="F19" s="208" t="n">
        <v>1101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</f>
        <v/>
      </c>
      <c r="K19" s="213">
        <f>IFERROR(J19/SUM(F19),0)</f>
        <v/>
      </c>
      <c r="L19" s="214" t="n">
        <v>20179.57</v>
      </c>
      <c r="M19" s="215">
        <f>SUM(L19/D19)</f>
        <v/>
      </c>
      <c r="N19" s="216" t="n">
        <v>10867.9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'10 Feb - 16 Feb'!D6</f>
        <v/>
      </c>
      <c r="C6" s="123" t="n">
        <v>255478.47</v>
      </c>
      <c r="D6" s="197" t="n">
        <v>222785.95</v>
      </c>
      <c r="E6" s="162">
        <f>IFERROR((SUM(D6-C6)/C6),0)</f>
        <v/>
      </c>
      <c r="F6" s="165" t="n">
        <v>1759</v>
      </c>
      <c r="G6" s="124">
        <f>IFERROR(D6/F6,0)</f>
        <v/>
      </c>
      <c r="H6" s="125" t="n">
        <v>25</v>
      </c>
      <c r="I6" s="168">
        <f>IFERROR(H6/F6,0)</f>
        <v/>
      </c>
      <c r="J6" s="46">
        <f>SUM(109+H6+'9 Dec - 15 Dec'!H6+'16 Dec - 22 Dec'!H6+'23 Dec - 29 Dec'!H6+'30 Dec - 5 Jan'!H6+'6 Jan - 12 Jan'!H6+'13 Jan - 19 Jan'!H6+'20 Jan - 26 Jan'!H6+'27 Jan - 2 Feb'!H6+'3 Feb - 9 Feb'!H6+'10 Feb - 16 Feb'!H6)</f>
        <v/>
      </c>
      <c r="K6" s="171">
        <f>IFERROR(J6/SUM(F6),0)</f>
        <v/>
      </c>
      <c r="L6" s="191" t="n">
        <v>32716.52</v>
      </c>
      <c r="M6" s="128">
        <f>SUM(L6/D6)</f>
        <v/>
      </c>
      <c r="N6" s="129" t="n">
        <v>11700.9</v>
      </c>
      <c r="O6" s="26" t="n"/>
    </row>
    <row r="7" ht="15.6" customHeight="1">
      <c r="A7" s="409" t="inlineStr">
        <is>
          <t>Melrose Arch</t>
        </is>
      </c>
      <c r="B7" s="200">
        <f>'10 Feb - 16 Feb'!D7</f>
        <v/>
      </c>
      <c r="C7" s="73" t="n">
        <v>179311.69</v>
      </c>
      <c r="D7" s="145" t="n">
        <v>232321.08</v>
      </c>
      <c r="E7" s="163">
        <f>IFERROR((SUM(D7-C7)/C7),0)</f>
        <v/>
      </c>
      <c r="F7" s="166" t="n">
        <v>1745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Feb'!H7)</f>
        <v/>
      </c>
      <c r="K7" s="172">
        <f>IFERROR(J7/SUM(F7),0)</f>
        <v/>
      </c>
      <c r="L7" s="188" t="n">
        <v>34262.96</v>
      </c>
      <c r="M7" s="89">
        <f>SUM(L7/D7)</f>
        <v/>
      </c>
      <c r="N7" s="130" t="n">
        <v>19824.28</v>
      </c>
      <c r="O7" s="26" t="n"/>
    </row>
    <row r="8" ht="15.6" customHeight="1">
      <c r="A8" s="409" t="inlineStr">
        <is>
          <t>Melville</t>
        </is>
      </c>
      <c r="B8" s="200">
        <f>'10 Feb - 16 Feb'!D8</f>
        <v/>
      </c>
      <c r="C8" s="73" t="n">
        <v>106132.06</v>
      </c>
      <c r="D8" s="145" t="n">
        <v>89875.17</v>
      </c>
      <c r="E8" s="163">
        <f>IFERROR((SUM(D8-C8)/C8),0)</f>
        <v/>
      </c>
      <c r="F8" s="166" t="n">
        <v>679</v>
      </c>
      <c r="G8" s="63">
        <f>IFERROR(D8/F8,0)</f>
        <v/>
      </c>
      <c r="H8" s="61" t="n">
        <v>2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Feb'!H8)</f>
        <v/>
      </c>
      <c r="K8" s="172">
        <f>IFERROR(J8/SUM(F8),0)</f>
        <v/>
      </c>
      <c r="L8" s="188" t="n">
        <v>29520.17</v>
      </c>
      <c r="M8" s="89">
        <f>SUM(L8/D8)</f>
        <v/>
      </c>
      <c r="N8" s="130" t="n">
        <v>4559.55</v>
      </c>
      <c r="O8" s="26" t="n"/>
    </row>
    <row r="9" ht="15.6" customHeight="1">
      <c r="A9" s="410" t="inlineStr">
        <is>
          <t>Rosebank</t>
        </is>
      </c>
      <c r="B9" s="224">
        <f>'10 Feb - 16 Feb'!D9</f>
        <v/>
      </c>
      <c r="C9" s="224" t="n">
        <v>325053.89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'10 Feb - 16 Feb'!D10</f>
        <v/>
      </c>
      <c r="C10" s="73" t="n">
        <v>146907.45</v>
      </c>
      <c r="D10" s="145" t="n">
        <v>172889.65</v>
      </c>
      <c r="E10" s="163">
        <f>IFERROR((SUM(D10-C10)/C10),0)</f>
        <v/>
      </c>
      <c r="F10" s="166" t="n">
        <v>1171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/>
      </c>
      <c r="K10" s="172">
        <f>IFERROR(J10/SUM(F10),0)</f>
        <v/>
      </c>
      <c r="L10" s="188" t="n">
        <v>39395</v>
      </c>
      <c r="M10" s="89">
        <f>SUM(L10/D10)</f>
        <v/>
      </c>
      <c r="N10" s="130" t="n">
        <v>8030.15</v>
      </c>
      <c r="O10" s="26" t="n"/>
    </row>
    <row r="11" ht="15.6" customHeight="1">
      <c r="A11" s="409" t="inlineStr">
        <is>
          <t>Eagles Landing</t>
        </is>
      </c>
      <c r="B11" s="200">
        <f>'10 Feb - 16 Feb'!D11</f>
        <v/>
      </c>
      <c r="C11" s="73" t="n">
        <v>346076.98</v>
      </c>
      <c r="D11" s="145" t="n">
        <v>295782.3</v>
      </c>
      <c r="E11" s="163">
        <f>IFERROR((SUM(D11-C11)/C11),0)</f>
        <v/>
      </c>
      <c r="F11" s="166" t="n">
        <v>1948</v>
      </c>
      <c r="G11" s="63">
        <f>IFERROR(D11/F11,0)</f>
        <v/>
      </c>
      <c r="H11" s="61" t="n">
        <v>17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/>
      </c>
      <c r="K11" s="172">
        <f>IFERROR(J11/SUM(F11),0)</f>
        <v/>
      </c>
      <c r="L11" s="188" t="n">
        <v>50240.29</v>
      </c>
      <c r="M11" s="89">
        <f>SUM(L11/D11)</f>
        <v/>
      </c>
      <c r="N11" s="130" t="n">
        <v>19210.25</v>
      </c>
      <c r="O11" s="26" t="n"/>
    </row>
    <row r="12" ht="15.6" customHeight="1">
      <c r="A12" s="198" t="inlineStr">
        <is>
          <t>Stellenbosch</t>
        </is>
      </c>
      <c r="B12" s="200">
        <f>'10 Feb - 16 Feb'!D12</f>
        <v/>
      </c>
      <c r="C12" s="73" t="n">
        <v>148820.94</v>
      </c>
      <c r="D12" s="145" t="n">
        <v>155166.48</v>
      </c>
      <c r="E12" s="163">
        <f>IFERROR((SUM(D12-C12)/C12),0)</f>
        <v/>
      </c>
      <c r="F12" s="166" t="n">
        <v>1221</v>
      </c>
      <c r="G12" s="63">
        <f>IFERROR(D12/F12,0)</f>
        <v/>
      </c>
      <c r="H12" s="61" t="n">
        <v>3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/>
      </c>
      <c r="K12" s="172">
        <f>IFERROR(J12/SUM(F12),0)</f>
        <v/>
      </c>
      <c r="L12" s="188" t="n">
        <v>20960.61</v>
      </c>
      <c r="M12" s="89">
        <f>SUM(L12/D12)</f>
        <v/>
      </c>
      <c r="N12" s="130" t="n">
        <v>13703.5</v>
      </c>
      <c r="O12" s="26" t="n"/>
    </row>
    <row r="13" ht="15.6" customHeight="1">
      <c r="A13" s="198" t="inlineStr">
        <is>
          <t>Lynnwood</t>
        </is>
      </c>
      <c r="B13" s="200">
        <f>'10 Feb - 16 Feb'!D13</f>
        <v/>
      </c>
      <c r="C13" s="73" t="n">
        <v>227627.23</v>
      </c>
      <c r="D13" s="145" t="n">
        <v>207016.53</v>
      </c>
      <c r="E13" s="163">
        <f>IFERROR((SUM(D13-C13)/C13),0)</f>
        <v/>
      </c>
      <c r="F13" s="166" t="n">
        <v>1529</v>
      </c>
      <c r="G13" s="63">
        <f>IFERROR(D13/F13,0)</f>
        <v/>
      </c>
      <c r="H13" s="61" t="n">
        <v>10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/>
      </c>
      <c r="K13" s="172">
        <f>IFERROR(J13/SUM(F13),0)</f>
        <v/>
      </c>
      <c r="L13" s="188" t="n">
        <v>32837.52</v>
      </c>
      <c r="M13" s="89">
        <f>SUM(L13/D13)</f>
        <v/>
      </c>
      <c r="N13" s="130" t="n">
        <v>10771.1</v>
      </c>
      <c r="O13" s="26" t="n"/>
    </row>
    <row r="14" hidden="1" ht="15.6" customHeight="1">
      <c r="A14" s="198" t="inlineStr">
        <is>
          <t>Wellington</t>
        </is>
      </c>
      <c r="B14" s="200">
        <f>'10 Feb - 16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'10 Feb - 16 Feb'!D15</f>
        <v/>
      </c>
      <c r="C15" s="73" t="n">
        <v>159531.37</v>
      </c>
      <c r="D15" s="145" t="n">
        <v>186665.69</v>
      </c>
      <c r="E15" s="163">
        <f>IFERROR((SUM(D15-C15)/C15),0)</f>
        <v/>
      </c>
      <c r="F15" s="166" t="n">
        <v>1592</v>
      </c>
      <c r="G15" s="63">
        <f>IFERROR(D15/F15,0)</f>
        <v/>
      </c>
      <c r="H15" s="61" t="n">
        <v>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/>
      </c>
      <c r="K15" s="172">
        <f>IFERROR(J15/SUM(F15),0)</f>
        <v/>
      </c>
      <c r="L15" s="188" t="n">
        <v>8853.040000000001</v>
      </c>
      <c r="M15" s="89">
        <f>SUM(L15/D15)</f>
        <v/>
      </c>
      <c r="N15" s="130" t="n">
        <v>5610.3</v>
      </c>
      <c r="O15" s="9" t="n"/>
    </row>
    <row r="16" ht="15.6" customHeight="1">
      <c r="A16" s="198" t="inlineStr">
        <is>
          <t>Kyalami Corner</t>
        </is>
      </c>
      <c r="B16" s="200">
        <f>'10 Feb - 16 Feb'!D16</f>
        <v/>
      </c>
      <c r="C16" s="73" t="n">
        <v>135434.34</v>
      </c>
      <c r="D16" s="145" t="n">
        <v>120536.7</v>
      </c>
      <c r="E16" s="163">
        <f>IFERROR((SUM(D16-C16)/C16),0)</f>
        <v/>
      </c>
      <c r="F16" s="166" t="n">
        <v>844</v>
      </c>
      <c r="G16" s="63">
        <f>IFERROR(D16/F16,0)</f>
        <v/>
      </c>
      <c r="H16" s="61" t="n">
        <v>4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/>
      </c>
      <c r="K16" s="172">
        <f>IFERROR(J16/SUM(F16),0)</f>
        <v/>
      </c>
      <c r="L16" s="188" t="n">
        <v>22726.22</v>
      </c>
      <c r="M16" s="89">
        <f>SUM(L16/D16)</f>
        <v/>
      </c>
      <c r="N16" s="130" t="n">
        <v>11150</v>
      </c>
      <c r="O16" s="9" t="n"/>
    </row>
    <row r="17" ht="15.6" customHeight="1">
      <c r="A17" s="198" t="inlineStr">
        <is>
          <t>Paulshof</t>
        </is>
      </c>
      <c r="B17" s="200">
        <f>'10 Feb - 16 Feb'!D17</f>
        <v/>
      </c>
      <c r="C17" s="73" t="n">
        <v>215582.54</v>
      </c>
      <c r="D17" s="145" t="n">
        <v>194445.82</v>
      </c>
      <c r="E17" s="163">
        <f>IFERROR((SUM(D17-C17)/C17),0)</f>
        <v/>
      </c>
      <c r="F17" s="166" t="n">
        <v>1277</v>
      </c>
      <c r="G17" s="63">
        <f>IFERROR(D17/F17,0)</f>
        <v/>
      </c>
      <c r="H17" s="61" t="n">
        <v>17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/>
      </c>
      <c r="K17" s="172">
        <f>IFERROR(J17/SUM(F17),0)</f>
        <v/>
      </c>
      <c r="L17" s="188" t="n">
        <v>31420.74</v>
      </c>
      <c r="M17" s="89">
        <f>SUM(L17/D17)</f>
        <v/>
      </c>
      <c r="N17" s="130" t="n">
        <v>11191.75</v>
      </c>
      <c r="O17" s="9" t="n"/>
    </row>
    <row r="18" ht="15.6" customHeight="1">
      <c r="A18" s="198" t="inlineStr">
        <is>
          <t>Queenswood</t>
        </is>
      </c>
      <c r="B18" s="200">
        <f>'10 Feb - 16 Feb'!D18</f>
        <v/>
      </c>
      <c r="C18" s="73" t="n">
        <v>169417.62</v>
      </c>
      <c r="D18" s="145" t="n">
        <v>165432.56</v>
      </c>
      <c r="E18" s="163">
        <f>IFERROR((SUM(D18-C18)/C18),0)</f>
        <v/>
      </c>
      <c r="F18" s="166" t="n">
        <v>1332</v>
      </c>
      <c r="G18" s="63">
        <f>IFERROR(D18/F18,0)</f>
        <v/>
      </c>
      <c r="H18" s="61" t="n">
        <v>19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/>
      </c>
      <c r="K18" s="172">
        <f>IFERROR(J18/SUM(F18),0)</f>
        <v/>
      </c>
      <c r="L18" s="188" t="n">
        <v>21947.48</v>
      </c>
      <c r="M18" s="89">
        <f>SUM(L18/D18)</f>
        <v/>
      </c>
      <c r="N18" s="130" t="n">
        <v>6781.04</v>
      </c>
      <c r="O18" s="9" t="n"/>
    </row>
    <row r="19" ht="16.2" customHeight="1" thickBot="1">
      <c r="A19" s="203" t="inlineStr">
        <is>
          <t>Centurion</t>
        </is>
      </c>
      <c r="B19" s="201">
        <f>'10 Feb - 16 Feb'!D19</f>
        <v/>
      </c>
      <c r="C19" s="205" t="n">
        <v>0</v>
      </c>
      <c r="D19" s="206" t="n">
        <v>112652.14</v>
      </c>
      <c r="E19" s="207">
        <f>IFERROR((SUM(D19-C19)/C19),0)</f>
        <v/>
      </c>
      <c r="F19" s="208" t="n">
        <v>961</v>
      </c>
      <c r="G19" s="209">
        <f>IFERROR(D19/F19,0)</f>
        <v/>
      </c>
      <c r="H19" s="210" t="n">
        <v>48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</f>
        <v/>
      </c>
      <c r="K19" s="213">
        <f>IFERROR(J19/SUM(F19),0)</f>
        <v/>
      </c>
      <c r="L19" s="214" t="n">
        <v>15151.26</v>
      </c>
      <c r="M19" s="215">
        <f>SUM(L19/D19)</f>
        <v/>
      </c>
      <c r="N19" s="216" t="n">
        <v>11068.3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SUM(C6:C19)-C14-C9</f>
        <v/>
      </c>
      <c r="D4" s="142">
        <f>SUM(D6:D19)-D9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'17 Feb - 23 Feb'!D6</f>
        <v/>
      </c>
      <c r="C6" s="123" t="n">
        <v>251748.71</v>
      </c>
      <c r="D6" s="197" t="n">
        <v>230798.84</v>
      </c>
      <c r="E6" s="162">
        <f>IFERROR((SUM(D6-C6)/C6),0)</f>
        <v/>
      </c>
      <c r="F6" s="165" t="n">
        <v>1745</v>
      </c>
      <c r="G6" s="124">
        <f>IFERROR(D6/F6,0)</f>
        <v/>
      </c>
      <c r="H6" s="125" t="n">
        <v>9</v>
      </c>
      <c r="I6" s="168">
        <f>IFERROR(H6/F6,0)</f>
        <v/>
      </c>
      <c r="J6" s="46">
        <f>SUM(358+H6)</f>
        <v/>
      </c>
      <c r="K6" s="171">
        <f>IFERROR(J6/SUM(F6),0)</f>
        <v/>
      </c>
      <c r="L6" s="191" t="n">
        <v>41165.7</v>
      </c>
      <c r="M6" s="128">
        <f>SUM(L6/D6)</f>
        <v/>
      </c>
      <c r="N6" s="129" t="n">
        <v>13389.8</v>
      </c>
      <c r="O6" s="26" t="n"/>
    </row>
    <row r="7" ht="15.6" customHeight="1">
      <c r="A7" s="409" t="inlineStr">
        <is>
          <t>Melrose Arch</t>
        </is>
      </c>
      <c r="B7" s="200">
        <f>'17 Feb - 23 Feb'!D7</f>
        <v/>
      </c>
      <c r="C7" s="73" t="n">
        <v>224533.36</v>
      </c>
      <c r="D7" s="145" t="n">
        <v>228520.15</v>
      </c>
      <c r="E7" s="163">
        <f>IFERROR((SUM(D7-C7)/C7),0)</f>
        <v/>
      </c>
      <c r="F7" s="166" t="n">
        <v>1697</v>
      </c>
      <c r="G7" s="63">
        <f>IFERROR(D7/F7,0)</f>
        <v/>
      </c>
      <c r="H7" s="61" t="n">
        <v>18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/>
      </c>
      <c r="K7" s="172">
        <f>IFERROR(J7/SUM(F7),0)</f>
        <v/>
      </c>
      <c r="L7" s="188" t="n">
        <v>33442.7</v>
      </c>
      <c r="M7" s="89">
        <f>SUM(L7/D7)</f>
        <v/>
      </c>
      <c r="N7" s="130" t="n">
        <v>19744.85</v>
      </c>
      <c r="O7" s="26" t="n"/>
    </row>
    <row r="8" ht="15.6" customHeight="1">
      <c r="A8" s="409" t="inlineStr">
        <is>
          <t>Melville</t>
        </is>
      </c>
      <c r="B8" s="200">
        <f>'17 Feb - 23 Feb'!D8</f>
        <v/>
      </c>
      <c r="C8" s="73" t="n">
        <v>118837.36</v>
      </c>
      <c r="D8" s="145" t="n">
        <v>118987.48</v>
      </c>
      <c r="E8" s="163">
        <f>IFERROR((SUM(D8-C8)/C8),0)</f>
        <v/>
      </c>
      <c r="F8" s="166" t="n">
        <v>861</v>
      </c>
      <c r="G8" s="63">
        <f>IFERROR(D8/F8,0)</f>
        <v/>
      </c>
      <c r="H8" s="61" t="n">
        <v>6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/>
      </c>
      <c r="K8" s="172">
        <f>IFERROR(J8/SUM(F8),0)</f>
        <v/>
      </c>
      <c r="L8" s="188" t="n">
        <v>31760.78</v>
      </c>
      <c r="M8" s="89">
        <f>SUM(L8/D8)</f>
        <v/>
      </c>
      <c r="N8" s="130" t="n">
        <v>5519.5</v>
      </c>
      <c r="O8" s="26" t="n"/>
    </row>
    <row r="9" ht="15.6" customHeight="1">
      <c r="A9" s="410" t="inlineStr">
        <is>
          <t>Rosebank</t>
        </is>
      </c>
      <c r="B9" s="224">
        <f>'17 Feb - 23 Feb'!D9</f>
        <v/>
      </c>
      <c r="C9" s="224" t="n">
        <v>354530.54</v>
      </c>
      <c r="D9" s="225" t="n">
        <v>0</v>
      </c>
      <c r="E9" s="226">
        <f>IFERROR((SUM(D9-C9)/C9),0)</f>
        <v/>
      </c>
      <c r="F9" s="227" t="n">
        <v>0</v>
      </c>
      <c r="G9" s="228">
        <f>IFERROR(D9/F9,0)</f>
        <v/>
      </c>
      <c r="H9" s="229" t="n">
        <v>0</v>
      </c>
      <c r="I9" s="230">
        <f>IFERROR(H9/F9,0)</f>
        <v/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/>
      </c>
      <c r="K9" s="232">
        <f>IFERROR(J9/SUM(F9),0)</f>
        <v/>
      </c>
      <c r="L9" s="233" t="n">
        <v>0</v>
      </c>
      <c r="M9" s="234">
        <f>SUM(L9/D9)</f>
        <v/>
      </c>
      <c r="N9" s="235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'17 Feb - 23 Feb'!D10</f>
        <v/>
      </c>
      <c r="C10" s="73" t="n">
        <v>162768.13</v>
      </c>
      <c r="D10" s="145" t="n">
        <v>180376.85</v>
      </c>
      <c r="E10" s="163">
        <f>IFERROR((SUM(D10-C10)/C10),0)</f>
        <v/>
      </c>
      <c r="F10" s="166" t="n">
        <v>1230</v>
      </c>
      <c r="G10" s="63">
        <f>IFERROR(D10/F10,0)</f>
        <v/>
      </c>
      <c r="H10" s="61" t="n">
        <v>34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/>
      </c>
      <c r="K10" s="172">
        <f>IFERROR(J10/SUM(F10),0)</f>
        <v/>
      </c>
      <c r="L10" s="188" t="n">
        <v>43358.57</v>
      </c>
      <c r="M10" s="89">
        <f>SUM(L10/D10)</f>
        <v/>
      </c>
      <c r="N10" s="130" t="n">
        <v>10709.2</v>
      </c>
      <c r="O10" s="26" t="n"/>
    </row>
    <row r="11" ht="15.6" customHeight="1">
      <c r="A11" s="409" t="inlineStr">
        <is>
          <t>Eagles Landing</t>
        </is>
      </c>
      <c r="B11" s="200">
        <f>'17 Feb - 23 Feb'!D11</f>
        <v/>
      </c>
      <c r="C11" s="73" t="n">
        <v>337802.42</v>
      </c>
      <c r="D11" s="145" t="n">
        <v>300655.83</v>
      </c>
      <c r="E11" s="163">
        <f>IFERROR((SUM(D11-C11)/C11),0)</f>
        <v/>
      </c>
      <c r="F11" s="166" t="n">
        <v>1915</v>
      </c>
      <c r="G11" s="63">
        <f>IFERROR(D11/F11,0)</f>
        <v/>
      </c>
      <c r="H11" s="61" t="n">
        <v>10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/>
      </c>
      <c r="K11" s="172">
        <f>IFERROR(J11/SUM(F11),0)</f>
        <v/>
      </c>
      <c r="L11" s="188" t="n">
        <v>54613.52</v>
      </c>
      <c r="M11" s="89">
        <f>SUM(L11/D11)</f>
        <v/>
      </c>
      <c r="N11" s="130" t="n">
        <v>19523.8</v>
      </c>
      <c r="O11" s="26" t="n"/>
    </row>
    <row r="12" ht="15.6" customHeight="1">
      <c r="A12" s="198" t="inlineStr">
        <is>
          <t>Stellenbosch</t>
        </is>
      </c>
      <c r="B12" s="200">
        <f>'17 Feb - 23 Feb'!D12</f>
        <v/>
      </c>
      <c r="C12" s="73" t="n">
        <v>176295.37</v>
      </c>
      <c r="D12" s="145" t="n">
        <v>152782.65</v>
      </c>
      <c r="E12" s="163">
        <f>IFERROR((SUM(D12-C12)/C12),0)</f>
        <v/>
      </c>
      <c r="F12" s="166" t="n">
        <v>1205</v>
      </c>
      <c r="G12" s="63">
        <f>IFERROR(D12/F12,0)</f>
        <v/>
      </c>
      <c r="H12" s="61" t="n">
        <v>11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/>
      </c>
      <c r="K12" s="172">
        <f>IFERROR(J12/SUM(F12),0)</f>
        <v/>
      </c>
      <c r="L12" s="188" t="n">
        <v>21659.57</v>
      </c>
      <c r="M12" s="89">
        <f>SUM(L12/D12)</f>
        <v/>
      </c>
      <c r="N12" s="130" t="n">
        <v>14110.91</v>
      </c>
      <c r="O12" s="26" t="n"/>
    </row>
    <row r="13" ht="15.6" customHeight="1">
      <c r="A13" s="198" t="inlineStr">
        <is>
          <t>Lynnwood</t>
        </is>
      </c>
      <c r="B13" s="200">
        <f>'17 Feb - 23 Feb'!D13</f>
        <v/>
      </c>
      <c r="C13" s="73" t="n">
        <v>222836.31</v>
      </c>
      <c r="D13" s="145" t="n">
        <v>243304.13</v>
      </c>
      <c r="E13" s="163">
        <f>IFERROR((SUM(D13-C13)/C13),0)</f>
        <v/>
      </c>
      <c r="F13" s="166" t="n">
        <v>1827</v>
      </c>
      <c r="G13" s="63">
        <f>IFERROR(D13/F13,0)</f>
        <v/>
      </c>
      <c r="H13" s="61" t="n">
        <v>69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/>
      </c>
      <c r="K13" s="172">
        <f>IFERROR(J13/SUM(F13),0)</f>
        <v/>
      </c>
      <c r="L13" s="188" t="n">
        <v>41969.3</v>
      </c>
      <c r="M13" s="89">
        <f>SUM(L13/D13)</f>
        <v/>
      </c>
      <c r="N13" s="130" t="n">
        <v>16814.55</v>
      </c>
      <c r="O13" s="26" t="n"/>
    </row>
    <row r="14" hidden="1" ht="15.6" customHeight="1">
      <c r="A14" s="198" t="inlineStr">
        <is>
          <t>Wellington</t>
        </is>
      </c>
      <c r="B14" s="200">
        <f>'17 Feb - 23 Feb'!D14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'17 Feb - 23 Feb'!D15</f>
        <v/>
      </c>
      <c r="C15" s="73" t="n">
        <v>167255.37</v>
      </c>
      <c r="D15" s="145" t="n">
        <v>176302.74</v>
      </c>
      <c r="E15" s="163">
        <f>IFERROR((SUM(D15-C15)/C15),0)</f>
        <v/>
      </c>
      <c r="F15" s="166" t="n">
        <v>1485</v>
      </c>
      <c r="G15" s="63">
        <f>IFERROR(D15/F15,0)</f>
        <v/>
      </c>
      <c r="H15" s="61" t="n">
        <v>10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/>
      </c>
      <c r="K15" s="172">
        <f>IFERROR(J15/SUM(F15),0)</f>
        <v/>
      </c>
      <c r="L15" s="188" t="n">
        <v>11983.91</v>
      </c>
      <c r="M15" s="89">
        <f>SUM(L15/D15)</f>
        <v/>
      </c>
      <c r="N15" s="130" t="n">
        <v>6171.58</v>
      </c>
      <c r="O15" s="9" t="n"/>
    </row>
    <row r="16" ht="15.6" customHeight="1">
      <c r="A16" s="198" t="inlineStr">
        <is>
          <t>Kyalami Corner</t>
        </is>
      </c>
      <c r="B16" s="200">
        <f>'17 Feb - 23 Feb'!D16</f>
        <v/>
      </c>
      <c r="C16" s="73" t="n">
        <v>151388.8</v>
      </c>
      <c r="D16" s="145" t="n">
        <v>133954.56</v>
      </c>
      <c r="E16" s="163">
        <f>IFERROR((SUM(D16-C16)/C16),0)</f>
        <v/>
      </c>
      <c r="F16" s="166" t="n">
        <v>913</v>
      </c>
      <c r="G16" s="63">
        <f>IFERROR(D16/F16,0)</f>
        <v/>
      </c>
      <c r="H16" s="61" t="n">
        <v>27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/>
      </c>
      <c r="K16" s="172">
        <f>IFERROR(J16/SUM(F16),0)</f>
        <v/>
      </c>
      <c r="L16" s="188" t="n">
        <v>26421.29</v>
      </c>
      <c r="M16" s="89">
        <f>SUM(L16/D16)</f>
        <v/>
      </c>
      <c r="N16" s="130" t="n">
        <v>8464.6</v>
      </c>
      <c r="O16" s="9" t="n"/>
    </row>
    <row r="17" ht="15.6" customHeight="1">
      <c r="A17" s="198" t="inlineStr">
        <is>
          <t>Paulshof</t>
        </is>
      </c>
      <c r="B17" s="200">
        <f>'17 Feb - 23 Feb'!D17</f>
        <v/>
      </c>
      <c r="C17" s="73" t="n">
        <v>250174.74</v>
      </c>
      <c r="D17" s="145" t="n">
        <v>200596.96</v>
      </c>
      <c r="E17" s="163">
        <f>IFERROR((SUM(D17-C17)/C17),0)</f>
        <v/>
      </c>
      <c r="F17" s="166" t="n">
        <v>1376</v>
      </c>
      <c r="G17" s="63">
        <f>IFERROR(D17/F17,0)</f>
        <v/>
      </c>
      <c r="H17" s="61" t="n">
        <v>6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/>
      </c>
      <c r="K17" s="172">
        <f>IFERROR(J17/SUM(F17),0)</f>
        <v/>
      </c>
      <c r="L17" s="188" t="n">
        <v>32690.65</v>
      </c>
      <c r="M17" s="89">
        <f>SUM(L17/D17)</f>
        <v/>
      </c>
      <c r="N17" s="130" t="n">
        <v>12858.7</v>
      </c>
      <c r="O17" s="9" t="n"/>
    </row>
    <row r="18" ht="15.6" customHeight="1">
      <c r="A18" s="198" t="inlineStr">
        <is>
          <t>Queenswood</t>
        </is>
      </c>
      <c r="B18" s="200">
        <f>'17 Feb - 23 Feb'!D18</f>
        <v/>
      </c>
      <c r="C18" s="73" t="n">
        <v>190318.77</v>
      </c>
      <c r="D18" s="145" t="n">
        <v>186259.82</v>
      </c>
      <c r="E18" s="163">
        <f>IFERROR((SUM(D18-C18)/C18),0)</f>
        <v/>
      </c>
      <c r="F18" s="166" t="n">
        <v>1491</v>
      </c>
      <c r="G18" s="63">
        <f>IFERROR(D18/F18,0)</f>
        <v/>
      </c>
      <c r="H18" s="61" t="n">
        <v>41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/>
      </c>
      <c r="K18" s="172">
        <f>IFERROR(J18/SUM(F18),0)</f>
        <v/>
      </c>
      <c r="L18" s="188" t="n">
        <v>27412.52</v>
      </c>
      <c r="M18" s="89">
        <f>SUM(L18/D18)</f>
        <v/>
      </c>
      <c r="N18" s="130" t="n">
        <v>8329</v>
      </c>
      <c r="O18" s="9" t="n"/>
    </row>
    <row r="19" ht="16.2" customHeight="1" thickBot="1">
      <c r="A19" s="203" t="inlineStr">
        <is>
          <t>Centurion</t>
        </is>
      </c>
      <c r="B19" s="201">
        <f>'17 Feb - 23 Feb'!D19</f>
        <v/>
      </c>
      <c r="C19" s="205" t="n">
        <v>0</v>
      </c>
      <c r="D19" s="206" t="n">
        <v>129094.15</v>
      </c>
      <c r="E19" s="207">
        <f>IFERROR((SUM(D19-C19)/C19),0)</f>
        <v/>
      </c>
      <c r="F19" s="208" t="n">
        <v>1069</v>
      </c>
      <c r="G19" s="209">
        <f>IFERROR(D19/F19,0)</f>
        <v/>
      </c>
      <c r="H19" s="210" t="n">
        <v>32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</f>
        <v/>
      </c>
      <c r="K19" s="213">
        <f>IFERROR(J19/SUM(F19),0)</f>
        <v/>
      </c>
      <c r="L19" s="214" t="n">
        <v>25469.89</v>
      </c>
      <c r="M19" s="215">
        <f>SUM(L19/D19)</f>
        <v/>
      </c>
      <c r="N19" s="216" t="n">
        <v>9475.299999999999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inlineStr">
        <is>
          <t>.</t>
        </is>
      </c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'24 Feb - 1 March'!D6</f>
        <v/>
      </c>
      <c r="C6" s="123" t="n">
        <v>237319.79</v>
      </c>
      <c r="D6" s="197" t="n">
        <v>224764.48</v>
      </c>
      <c r="E6" s="162">
        <f>IFERROR((SUM(D6-C6)/C6),0)</f>
        <v/>
      </c>
      <c r="F6" s="165" t="n">
        <v>1699</v>
      </c>
      <c r="G6" s="124">
        <f>IFERROR(D6/F6,0)</f>
        <v/>
      </c>
      <c r="H6" s="125" t="n">
        <v>10</v>
      </c>
      <c r="I6" s="168">
        <f>IFERROR(H6/F6,0)</f>
        <v/>
      </c>
      <c r="J6" s="46">
        <f>SUM(358+H6+'24 Feb - 1 March'!H6)</f>
        <v/>
      </c>
      <c r="K6" s="171">
        <f>IFERROR(J6/SUM(F6),0)</f>
        <v/>
      </c>
      <c r="L6" s="191" t="n">
        <v>36454.48</v>
      </c>
      <c r="M6" s="128">
        <f>SUM(L6/D6)</f>
        <v/>
      </c>
      <c r="N6" s="129" t="n">
        <v>12362.7</v>
      </c>
      <c r="O6" s="26" t="n"/>
    </row>
    <row r="7" ht="15.6" customHeight="1">
      <c r="A7" s="409" t="inlineStr">
        <is>
          <t>Melrose Arch</t>
        </is>
      </c>
      <c r="B7" s="200">
        <f>'24 Feb - 1 March'!D7</f>
        <v/>
      </c>
      <c r="C7" s="73" t="n">
        <v>233007.56</v>
      </c>
      <c r="D7" s="145" t="n">
        <v>216682.01</v>
      </c>
      <c r="E7" s="163">
        <f>IFERROR((SUM(D7-C7)/C7),0)</f>
        <v/>
      </c>
      <c r="F7" s="166" t="n">
        <v>1570</v>
      </c>
      <c r="G7" s="63">
        <f>IFERROR(D7/F7,0)</f>
        <v/>
      </c>
      <c r="H7" s="61" t="n">
        <v>3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/>
      </c>
      <c r="K7" s="172">
        <f>IFERROR(J7/SUM(F7),0)</f>
        <v/>
      </c>
      <c r="L7" s="188" t="n">
        <v>40909.61</v>
      </c>
      <c r="M7" s="89">
        <f>SUM(L7/D7)</f>
        <v/>
      </c>
      <c r="N7" s="130" t="n">
        <v>14387.46</v>
      </c>
      <c r="O7" s="26" t="n"/>
    </row>
    <row r="8" ht="15.6" customHeight="1">
      <c r="A8" s="409" t="inlineStr">
        <is>
          <t>Melville</t>
        </is>
      </c>
      <c r="B8" s="200">
        <f>'24 Feb - 1 March'!D8</f>
        <v/>
      </c>
      <c r="C8" s="73" t="n">
        <v>127072.32</v>
      </c>
      <c r="D8" s="145" t="n">
        <v>106995.52</v>
      </c>
      <c r="E8" s="163">
        <f>IFERROR((SUM(D8-C8)/C8),0)</f>
        <v/>
      </c>
      <c r="F8" s="166" t="n">
        <v>815</v>
      </c>
      <c r="G8" s="63">
        <f>IFERROR(D8/F8,0)</f>
        <v/>
      </c>
      <c r="H8" s="61" t="n">
        <v>18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/>
      </c>
      <c r="K8" s="172">
        <f>IFERROR(J8/SUM(F8),0)</f>
        <v/>
      </c>
      <c r="L8" s="188" t="n">
        <v>31879.13</v>
      </c>
      <c r="M8" s="89">
        <f>SUM(L8/D8)</f>
        <v/>
      </c>
      <c r="N8" s="130" t="n">
        <v>5412.9</v>
      </c>
      <c r="O8" s="26" t="n"/>
    </row>
    <row r="9" ht="15.6" customHeight="1">
      <c r="A9" s="409" t="inlineStr">
        <is>
          <t>Rosebank</t>
        </is>
      </c>
      <c r="B9" s="200">
        <f>'24 Feb - 1 March'!D9</f>
        <v/>
      </c>
      <c r="C9" s="73" t="n">
        <v>354792.07</v>
      </c>
      <c r="D9" s="145" t="n">
        <v>242061.31</v>
      </c>
      <c r="E9" s="163">
        <f>IFERROR((SUM(D9-C9)/C9),0)</f>
        <v/>
      </c>
      <c r="F9" s="166" t="n">
        <v>1790</v>
      </c>
      <c r="G9" s="63">
        <f>IFERROR(D9/F9,0)</f>
        <v/>
      </c>
      <c r="H9" s="61" t="n">
        <v>19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/>
      </c>
      <c r="K9" s="172">
        <f>IFERROR(J9/SUM(F9),0)</f>
        <v/>
      </c>
      <c r="L9" s="188" t="n">
        <v>3190.43</v>
      </c>
      <c r="M9" s="89">
        <f>SUM(L9/D9)</f>
        <v/>
      </c>
      <c r="N9" s="130" t="n">
        <v>13307.3</v>
      </c>
      <c r="O9" s="26" t="n"/>
    </row>
    <row r="10" ht="15.6" customHeight="1">
      <c r="A10" s="409" t="inlineStr">
        <is>
          <t xml:space="preserve">Waterkloof </t>
        </is>
      </c>
      <c r="B10" s="200">
        <f>'24 Feb - 1 March'!D10</f>
        <v/>
      </c>
      <c r="C10" s="73" t="n">
        <v>162214.98</v>
      </c>
      <c r="D10" s="145" t="n">
        <v>159016.18</v>
      </c>
      <c r="E10" s="163">
        <f>IFERROR((SUM(D10-C10)/C10),0)</f>
        <v/>
      </c>
      <c r="F10" s="166" t="n">
        <v>1107</v>
      </c>
      <c r="G10" s="63">
        <f>IFERROR(D10/F10,0)</f>
        <v/>
      </c>
      <c r="H10" s="61" t="n">
        <v>24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/>
      </c>
      <c r="K10" s="172">
        <f>IFERROR(J10/SUM(F10),0)</f>
        <v/>
      </c>
      <c r="L10" s="188" t="n">
        <v>34807.04</v>
      </c>
      <c r="M10" s="89">
        <f>SUM(L10/D10)</f>
        <v/>
      </c>
      <c r="N10" s="130" t="n">
        <v>8389.1</v>
      </c>
      <c r="O10" s="26" t="n"/>
    </row>
    <row r="11" ht="15.6" customHeight="1">
      <c r="A11" s="409" t="inlineStr">
        <is>
          <t>Eagles Landing</t>
        </is>
      </c>
      <c r="B11" s="200">
        <f>'24 Feb - 1 March'!D11</f>
        <v/>
      </c>
      <c r="C11" s="73" t="n">
        <v>339050.03</v>
      </c>
      <c r="D11" s="145" t="n">
        <v>270331.87</v>
      </c>
      <c r="E11" s="163">
        <f>IFERROR((SUM(D11-C11)/C11),0)</f>
        <v/>
      </c>
      <c r="F11" s="166" t="n">
        <v>1836</v>
      </c>
      <c r="G11" s="63">
        <f>IFERROR(D11/F11,0)</f>
        <v/>
      </c>
      <c r="H11" s="61" t="n">
        <v>55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/>
      </c>
      <c r="K11" s="172">
        <f>IFERROR(J11/SUM(F11),0)</f>
        <v/>
      </c>
      <c r="L11" s="188" t="n">
        <v>39946.43</v>
      </c>
      <c r="M11" s="89">
        <f>SUM(L11/D11)</f>
        <v/>
      </c>
      <c r="N11" s="130" t="n">
        <v>19053.7</v>
      </c>
      <c r="O11" s="26" t="n"/>
    </row>
    <row r="12" ht="15.6" customHeight="1">
      <c r="A12" s="198" t="inlineStr">
        <is>
          <t>Stellenbosch</t>
        </is>
      </c>
      <c r="B12" s="200">
        <f>'24 Feb - 1 March'!D12</f>
        <v/>
      </c>
      <c r="C12" s="73" t="n">
        <v>164881.56</v>
      </c>
      <c r="D12" s="145" t="n">
        <v>157839.24</v>
      </c>
      <c r="E12" s="163">
        <f>IFERROR((SUM(D12-C12)/C12),0)</f>
        <v/>
      </c>
      <c r="F12" s="166" t="n">
        <v>1300</v>
      </c>
      <c r="G12" s="63">
        <f>IFERROR(D12/F12,0)</f>
        <v/>
      </c>
      <c r="H12" s="61" t="n">
        <v>14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/>
      </c>
      <c r="K12" s="172">
        <f>IFERROR(J12/SUM(F12),0)</f>
        <v/>
      </c>
      <c r="L12" s="188" t="n">
        <v>18211.65</v>
      </c>
      <c r="M12" s="89">
        <f>SUM(L12/D12)</f>
        <v/>
      </c>
      <c r="N12" s="130" t="n">
        <v>16848.5</v>
      </c>
      <c r="O12" s="26" t="n"/>
    </row>
    <row r="13" ht="15.6" customHeight="1">
      <c r="A13" s="198" t="inlineStr">
        <is>
          <t>Lynnwood</t>
        </is>
      </c>
      <c r="B13" s="200">
        <f>'24 Feb - 1 March'!D13</f>
        <v/>
      </c>
      <c r="C13" s="73" t="n">
        <v>220450.34</v>
      </c>
      <c r="D13" s="145" t="n">
        <v>217934.76</v>
      </c>
      <c r="E13" s="163">
        <f>IFERROR((SUM(D13-C13)/C13),0)</f>
        <v/>
      </c>
      <c r="F13" s="166" t="n">
        <v>1565</v>
      </c>
      <c r="G13" s="63">
        <f>IFERROR(D13/F13,0)</f>
        <v/>
      </c>
      <c r="H13" s="61" t="n">
        <v>14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/>
      </c>
      <c r="K13" s="172">
        <f>IFERROR(J13/SUM(F13),0)</f>
        <v/>
      </c>
      <c r="L13" s="188" t="n">
        <v>38626.22</v>
      </c>
      <c r="M13" s="89">
        <f>SUM(L13/D13)</f>
        <v/>
      </c>
      <c r="N13" s="130" t="n">
        <v>12785</v>
      </c>
      <c r="O13" s="26" t="n"/>
    </row>
    <row r="14" hidden="1" ht="15.6" customHeight="1">
      <c r="A14" s="198" t="inlineStr">
        <is>
          <t>Wellington</t>
        </is>
      </c>
      <c r="B14" s="200">
        <f>'24 Feb - 1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'24 Feb - 1 March'!D15</f>
        <v/>
      </c>
      <c r="C15" s="73" t="n">
        <v>156695.27</v>
      </c>
      <c r="D15" s="145" t="n">
        <v>183776.76</v>
      </c>
      <c r="E15" s="163">
        <f>IFERROR((SUM(D15-C15)/C15),0)</f>
        <v/>
      </c>
      <c r="F15" s="166" t="n">
        <v>1523</v>
      </c>
      <c r="G15" s="63">
        <f>IFERROR(D15/F15,0)</f>
        <v/>
      </c>
      <c r="H15" s="61" t="n">
        <v>13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/>
      </c>
      <c r="K15" s="172">
        <f>IFERROR(J15/SUM(F15),0)</f>
        <v/>
      </c>
      <c r="L15" s="188" t="n">
        <v>9342.17</v>
      </c>
      <c r="M15" s="89">
        <f>SUM(L15/D15)</f>
        <v/>
      </c>
      <c r="N15" s="130" t="n">
        <v>7110.65</v>
      </c>
      <c r="O15" s="9" t="n"/>
    </row>
    <row r="16" ht="15.6" customHeight="1">
      <c r="A16" s="198" t="inlineStr">
        <is>
          <t>Kyalami Corner</t>
        </is>
      </c>
      <c r="B16" s="200">
        <f>'24 Feb - 1 March'!D16</f>
        <v/>
      </c>
      <c r="C16" s="73" t="n">
        <v>139497.94</v>
      </c>
      <c r="D16" s="145" t="n">
        <v>127255.26</v>
      </c>
      <c r="E16" s="163">
        <f>IFERROR((SUM(D16-C16)/C16),0)</f>
        <v/>
      </c>
      <c r="F16" s="166" t="n">
        <v>923</v>
      </c>
      <c r="G16" s="63">
        <f>IFERROR(D16/F16,0)</f>
        <v/>
      </c>
      <c r="H16" s="61" t="n">
        <v>17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/>
      </c>
      <c r="K16" s="172">
        <f>IFERROR(J16/SUM(F16),0)</f>
        <v/>
      </c>
      <c r="L16" s="188" t="n">
        <v>24858.48</v>
      </c>
      <c r="M16" s="89">
        <f>SUM(L16/D16)</f>
        <v/>
      </c>
      <c r="N16" s="130" t="n">
        <v>8866.4</v>
      </c>
      <c r="O16" s="9" t="n"/>
    </row>
    <row r="17" ht="15.6" customHeight="1">
      <c r="A17" s="198" t="inlineStr">
        <is>
          <t>Paulshof</t>
        </is>
      </c>
      <c r="B17" s="200">
        <f>'24 Feb - 1 March'!D17</f>
        <v/>
      </c>
      <c r="C17" s="73" t="n">
        <v>227810.49</v>
      </c>
      <c r="D17" s="145" t="n">
        <v>208721.29</v>
      </c>
      <c r="E17" s="163">
        <f>IFERROR((SUM(D17-C17)/C17),0)</f>
        <v/>
      </c>
      <c r="F17" s="166" t="n">
        <v>1412</v>
      </c>
      <c r="G17" s="63">
        <f>IFERROR(D17/F17,0)</f>
        <v/>
      </c>
      <c r="H17" s="61" t="n">
        <v>11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/>
      </c>
      <c r="K17" s="172">
        <f>IFERROR(J17/SUM(F17),0)</f>
        <v/>
      </c>
      <c r="L17" s="188" t="n">
        <v>26752.71</v>
      </c>
      <c r="M17" s="89">
        <f>SUM(L17/D17)</f>
        <v/>
      </c>
      <c r="N17" s="130" t="n">
        <v>10019.42</v>
      </c>
      <c r="O17" s="9" t="n"/>
    </row>
    <row r="18" ht="15.6" customHeight="1">
      <c r="A18" s="198" t="inlineStr">
        <is>
          <t>Queenswood</t>
        </is>
      </c>
      <c r="B18" s="200">
        <f>'24 Feb - 1 March'!D18</f>
        <v/>
      </c>
      <c r="C18" s="73" t="n">
        <v>195684.66</v>
      </c>
      <c r="D18" s="145" t="n">
        <v>169228.51</v>
      </c>
      <c r="E18" s="163">
        <f>IFERROR((SUM(D18-C18)/C18),0)</f>
        <v/>
      </c>
      <c r="F18" s="166" t="n">
        <v>1395</v>
      </c>
      <c r="G18" s="63">
        <f>IFERROR(D18/F18,0)</f>
        <v/>
      </c>
      <c r="H18" s="61" t="n">
        <v>23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/>
      </c>
      <c r="K18" s="172">
        <f>IFERROR(J18/SUM(F18),0)</f>
        <v/>
      </c>
      <c r="L18" s="188" t="n">
        <v>22910.17</v>
      </c>
      <c r="M18" s="89">
        <f>SUM(L18/D18)</f>
        <v/>
      </c>
      <c r="N18" s="130" t="n">
        <v>6225</v>
      </c>
      <c r="O18" s="9" t="n"/>
    </row>
    <row r="19" ht="16.2" customHeight="1" thickBot="1">
      <c r="A19" s="203" t="inlineStr">
        <is>
          <t>Centurion</t>
        </is>
      </c>
      <c r="B19" s="201">
        <f>'24 Feb - 1 March'!D19</f>
        <v/>
      </c>
      <c r="C19" s="205" t="n">
        <v>0</v>
      </c>
      <c r="D19" s="206" t="n">
        <v>116693.24</v>
      </c>
      <c r="E19" s="207">
        <f>IFERROR((SUM(D19-C19)/C19),0)</f>
        <v/>
      </c>
      <c r="F19" s="208" t="n">
        <v>1001</v>
      </c>
      <c r="G19" s="209">
        <f>IFERROR(D19/F19,0)</f>
        <v/>
      </c>
      <c r="H19" s="210" t="n">
        <v>21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/>
      </c>
      <c r="K19" s="213">
        <f>IFERROR(J19/SUM(F19),0)</f>
        <v/>
      </c>
      <c r="L19" s="214" t="n">
        <v>20517.48</v>
      </c>
      <c r="M19" s="215">
        <f>SUM(L19/D19)</f>
        <v/>
      </c>
      <c r="N19" s="216" t="n">
        <v>9235.200000000001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 March - 8 March'!D6</f>
        <v/>
      </c>
      <c r="C6" s="123" t="n">
        <v>268849.73</v>
      </c>
      <c r="D6" s="197" t="n">
        <v>228544.88</v>
      </c>
      <c r="E6" s="162">
        <f>IFERROR((SUM(D6-C6)/C6),0)</f>
        <v/>
      </c>
      <c r="F6" s="165" t="n">
        <v>1731</v>
      </c>
      <c r="G6" s="124">
        <f>IFERROR(D6/F6,0)</f>
        <v/>
      </c>
      <c r="H6" s="125" t="n">
        <v>19</v>
      </c>
      <c r="I6" s="168">
        <f>IFERROR(H6/F6,0)</f>
        <v/>
      </c>
      <c r="J6" s="46">
        <f>SUM(358+H6+'24 Feb - 1 March'!H6+'2 March - 8 March'!H6)</f>
        <v/>
      </c>
      <c r="K6" s="171">
        <f>IFERROR(J6/SUM(F6),0)</f>
        <v/>
      </c>
      <c r="L6" s="191" t="n">
        <v>17675.96</v>
      </c>
      <c r="M6" s="128">
        <f>SUM(L6/D6)</f>
        <v/>
      </c>
      <c r="N6" s="129" t="n">
        <v>14320.65</v>
      </c>
      <c r="O6" s="26" t="n"/>
    </row>
    <row r="7" ht="15.6" customHeight="1">
      <c r="A7" s="409" t="inlineStr">
        <is>
          <t>Melrose Arch</t>
        </is>
      </c>
      <c r="B7" s="200">
        <f>'2 March - 8 March'!D7</f>
        <v/>
      </c>
      <c r="C7" s="73" t="n">
        <v>247782.44</v>
      </c>
      <c r="D7" s="145" t="n">
        <v>171162.7</v>
      </c>
      <c r="E7" s="163">
        <f>IFERROR((SUM(D7-C7)/C7),0)</f>
        <v/>
      </c>
      <c r="F7" s="166" t="n">
        <v>1458</v>
      </c>
      <c r="G7" s="63">
        <f>IFERROR(D7/F7,0)</f>
        <v/>
      </c>
      <c r="H7" s="61" t="n">
        <v>8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/>
      </c>
      <c r="K7" s="172">
        <f>IFERROR(J7/SUM(F7),0)</f>
        <v/>
      </c>
      <c r="L7" s="188" t="n">
        <v>16744.78</v>
      </c>
      <c r="M7" s="89">
        <f>SUM(L7/D7)</f>
        <v/>
      </c>
      <c r="N7" s="130" t="n">
        <v>16025.56</v>
      </c>
      <c r="O7" s="26" t="n"/>
    </row>
    <row r="8" ht="15.6" customHeight="1">
      <c r="A8" s="409" t="inlineStr">
        <is>
          <t>Melville</t>
        </is>
      </c>
      <c r="B8" s="200">
        <f>'2 March - 8 March'!D8</f>
        <v/>
      </c>
      <c r="C8" s="73" t="n">
        <v>112508.16</v>
      </c>
      <c r="D8" s="145" t="n">
        <v>111287.99</v>
      </c>
      <c r="E8" s="163">
        <f>IFERROR((SUM(D8-C8)/C8),0)</f>
        <v/>
      </c>
      <c r="F8" s="166" t="n">
        <v>771</v>
      </c>
      <c r="G8" s="63">
        <f>IFERROR(D8/F8,0)</f>
        <v/>
      </c>
      <c r="H8" s="61" t="n">
        <v>9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/>
      </c>
      <c r="K8" s="172">
        <f>IFERROR(J8/SUM(F8),0)</f>
        <v/>
      </c>
      <c r="L8" s="188" t="n">
        <v>18796.65</v>
      </c>
      <c r="M8" s="89">
        <f>SUM(L8/D8)</f>
        <v/>
      </c>
      <c r="N8" s="130" t="n">
        <v>4521</v>
      </c>
      <c r="O8" s="26" t="n"/>
    </row>
    <row r="9" ht="15.6" customHeight="1">
      <c r="A9" s="409" t="inlineStr">
        <is>
          <t>Rosebank</t>
        </is>
      </c>
      <c r="B9" s="200">
        <f>'2 March - 8 March'!D9</f>
        <v/>
      </c>
      <c r="C9" s="73" t="n">
        <v>355321</v>
      </c>
      <c r="D9" s="145" t="n">
        <v>273777</v>
      </c>
      <c r="E9" s="163">
        <f>IFERROR((SUM(D9-C9)/C9),0)</f>
        <v/>
      </c>
      <c r="F9" s="166" t="n">
        <v>2030</v>
      </c>
      <c r="G9" s="63">
        <f>IFERROR(D9/F9,0)</f>
        <v/>
      </c>
      <c r="H9" s="61" t="n">
        <v>20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/>
      </c>
      <c r="K9" s="172">
        <f>IFERROR(J9/SUM(F9),0)</f>
        <v/>
      </c>
      <c r="L9" s="188" t="n">
        <v>3615.13</v>
      </c>
      <c r="M9" s="89">
        <f>SUM(L9/D9)</f>
        <v/>
      </c>
      <c r="N9" s="130" t="n">
        <v>21746.1</v>
      </c>
      <c r="O9" s="26" t="n"/>
    </row>
    <row r="10" ht="15.6" customHeight="1">
      <c r="A10" s="409" t="inlineStr">
        <is>
          <t xml:space="preserve">Waterkloof </t>
        </is>
      </c>
      <c r="B10" s="200">
        <f>'2 March - 8 March'!D10</f>
        <v/>
      </c>
      <c r="C10" s="73" t="n">
        <v>153600.97</v>
      </c>
      <c r="D10" s="145" t="n">
        <v>157896.94</v>
      </c>
      <c r="E10" s="163">
        <f>IFERROR((SUM(D10-C10)/C10),0)</f>
        <v/>
      </c>
      <c r="F10" s="166" t="n">
        <v>1137</v>
      </c>
      <c r="G10" s="63">
        <f>IFERROR(D10/F10,0)</f>
        <v/>
      </c>
      <c r="H10" s="61" t="n">
        <v>38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/>
      </c>
      <c r="K10" s="172">
        <f>IFERROR(J10/SUM(F10),0)</f>
        <v/>
      </c>
      <c r="L10" s="188" t="n">
        <v>20331.61</v>
      </c>
      <c r="M10" s="89">
        <f>SUM(L10/D10)</f>
        <v/>
      </c>
      <c r="N10" s="130" t="n">
        <v>8248.6</v>
      </c>
      <c r="O10" s="26" t="n"/>
    </row>
    <row r="11" ht="15.6" customHeight="1">
      <c r="A11" s="409" t="inlineStr">
        <is>
          <t>Eagles Landing</t>
        </is>
      </c>
      <c r="B11" s="200">
        <f>'2 March - 8 March'!D11</f>
        <v/>
      </c>
      <c r="C11" s="73" t="n">
        <v>339268.89</v>
      </c>
      <c r="D11" s="145" t="n">
        <v>316971.75</v>
      </c>
      <c r="E11" s="163">
        <f>IFERROR((SUM(D11-C11)/C11),0)</f>
        <v/>
      </c>
      <c r="F11" s="166" t="n">
        <v>2077</v>
      </c>
      <c r="G11" s="63">
        <f>IFERROR(D11/F11,0)</f>
        <v/>
      </c>
      <c r="H11" s="61" t="n">
        <v>53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/>
      </c>
      <c r="K11" s="172">
        <f>IFERROR(J11/SUM(F11),0)</f>
        <v/>
      </c>
      <c r="L11" s="188" t="n">
        <v>12941.48</v>
      </c>
      <c r="M11" s="89">
        <f>SUM(L11/D11)</f>
        <v/>
      </c>
      <c r="N11" s="130" t="n">
        <v>21631.95</v>
      </c>
      <c r="O11" s="26" t="n"/>
    </row>
    <row r="12" ht="15.6" customHeight="1">
      <c r="A12" s="198" t="inlineStr">
        <is>
          <t>Stellenbosch</t>
        </is>
      </c>
      <c r="B12" s="200">
        <f>'2 March - 8 March'!D12</f>
        <v/>
      </c>
      <c r="C12" s="73" t="n">
        <v>151174.76</v>
      </c>
      <c r="D12" s="145" t="n">
        <v>142886.7</v>
      </c>
      <c r="E12" s="163">
        <f>IFERROR((SUM(D12-C12)/C12),0)</f>
        <v/>
      </c>
      <c r="F12" s="166" t="n">
        <v>1153</v>
      </c>
      <c r="G12" s="63">
        <f>IFERROR(D12/F12,0)</f>
        <v/>
      </c>
      <c r="H12" s="61" t="n">
        <v>17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/>
      </c>
      <c r="K12" s="172">
        <f>IFERROR(J12/SUM(F12),0)</f>
        <v/>
      </c>
      <c r="L12" s="188" t="n">
        <v>1253.17</v>
      </c>
      <c r="M12" s="89">
        <f>SUM(L12/D12)</f>
        <v/>
      </c>
      <c r="N12" s="130" t="n">
        <v>14386.5</v>
      </c>
      <c r="O12" s="26" t="n"/>
    </row>
    <row r="13" ht="15.6" customHeight="1">
      <c r="A13" s="198" t="inlineStr">
        <is>
          <t>Lynnwood</t>
        </is>
      </c>
      <c r="B13" s="200">
        <f>'2 March - 8 March'!D13</f>
        <v/>
      </c>
      <c r="C13" s="73" t="n">
        <v>230113.69</v>
      </c>
      <c r="D13" s="145" t="n">
        <v>227804.08</v>
      </c>
      <c r="E13" s="163">
        <f>IFERROR((SUM(D13-C13)/C13),0)</f>
        <v/>
      </c>
      <c r="F13" s="166" t="n">
        <v>1695</v>
      </c>
      <c r="G13" s="63">
        <f>IFERROR(D13/F13,0)</f>
        <v/>
      </c>
      <c r="H13" s="61" t="n">
        <v>22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/>
      </c>
      <c r="K13" s="172">
        <f>IFERROR(J13/SUM(F13),0)</f>
        <v/>
      </c>
      <c r="L13" s="188" t="n">
        <v>17856.74</v>
      </c>
      <c r="M13" s="89">
        <f>SUM(L13/D13)</f>
        <v/>
      </c>
      <c r="N13" s="130" t="n">
        <v>11379.6</v>
      </c>
      <c r="O13" s="26" t="n"/>
    </row>
    <row r="14" hidden="1" ht="15.6" customHeight="1">
      <c r="A14" s="198" t="inlineStr">
        <is>
          <t>Wellington</t>
        </is>
      </c>
      <c r="B14" s="200">
        <f>'2 March - 8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 March - 8 March'!D15</f>
        <v/>
      </c>
      <c r="C15" s="73" t="n">
        <v>223622.64</v>
      </c>
      <c r="D15" s="145" t="n">
        <v>199136.28</v>
      </c>
      <c r="E15" s="163">
        <f>IFERROR((SUM(D15-C15)/C15),0)</f>
        <v/>
      </c>
      <c r="F15" s="166" t="n">
        <v>1628</v>
      </c>
      <c r="G15" s="63">
        <f>IFERROR(D15/F15,0)</f>
        <v/>
      </c>
      <c r="H15" s="61" t="n">
        <v>6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/>
      </c>
      <c r="K15" s="172">
        <f>IFERROR(J15/SUM(F15),0)</f>
        <v/>
      </c>
      <c r="L15" s="188" t="n"/>
      <c r="M15" s="89">
        <f>SUM(L15/D15)</f>
        <v/>
      </c>
      <c r="N15" s="130" t="n">
        <v>6902</v>
      </c>
      <c r="O15" s="9" t="n"/>
    </row>
    <row r="16" ht="15.6" customHeight="1">
      <c r="A16" s="198" t="inlineStr">
        <is>
          <t>Kyalami Corner</t>
        </is>
      </c>
      <c r="B16" s="200">
        <f>'2 March - 8 March'!D16</f>
        <v/>
      </c>
      <c r="C16" s="73" t="n">
        <v>152677.41</v>
      </c>
      <c r="D16" s="145" t="n">
        <v>138626.42</v>
      </c>
      <c r="E16" s="163">
        <f>IFERROR((SUM(D16-C16)/C16),0)</f>
        <v/>
      </c>
      <c r="F16" s="166" t="n">
        <v>921</v>
      </c>
      <c r="G16" s="63">
        <f>IFERROR(D16/F16,0)</f>
        <v/>
      </c>
      <c r="H16" s="61" t="n">
        <v>15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/>
      </c>
      <c r="K16" s="172">
        <f>IFERROR(J16/SUM(F16),0)</f>
        <v/>
      </c>
      <c r="L16" s="188" t="n">
        <v>14067.35</v>
      </c>
      <c r="M16" s="89">
        <f>SUM(L16/D16)</f>
        <v/>
      </c>
      <c r="N16" s="130" t="n">
        <v>11749.1</v>
      </c>
      <c r="O16" s="9" t="n"/>
    </row>
    <row r="17" ht="15.6" customHeight="1">
      <c r="A17" s="198" t="inlineStr">
        <is>
          <t>Paulshof</t>
        </is>
      </c>
      <c r="B17" s="200">
        <f>'2 March - 8 March'!D17</f>
        <v/>
      </c>
      <c r="C17" s="73" t="n">
        <v>218932.85</v>
      </c>
      <c r="D17" s="145" t="n">
        <v>218588.98</v>
      </c>
      <c r="E17" s="163">
        <f>IFERROR((SUM(D17-C17)/C17),0)</f>
        <v/>
      </c>
      <c r="F17" s="166" t="n">
        <v>1435</v>
      </c>
      <c r="G17" s="63">
        <f>IFERROR(D17/F17,0)</f>
        <v/>
      </c>
      <c r="H17" s="61" t="n">
        <v>32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/>
      </c>
      <c r="K17" s="172">
        <f>IFERROR(J17/SUM(F17),0)</f>
        <v/>
      </c>
      <c r="L17" s="188" t="n">
        <v>23629.52</v>
      </c>
      <c r="M17" s="89">
        <f>SUM(L17/D17)</f>
        <v/>
      </c>
      <c r="N17" s="130" t="n">
        <v>13262.4</v>
      </c>
      <c r="O17" s="9" t="n"/>
    </row>
    <row r="18" ht="15.6" customHeight="1">
      <c r="A18" s="198" t="inlineStr">
        <is>
          <t>Queenswood</t>
        </is>
      </c>
      <c r="B18" s="200">
        <f>'2 March - 8 March'!D18</f>
        <v/>
      </c>
      <c r="C18" s="73" t="n">
        <v>189463.05</v>
      </c>
      <c r="D18" s="145" t="n">
        <v>185708.58</v>
      </c>
      <c r="E18" s="163">
        <f>IFERROR((SUM(D18-C18)/C18),0)</f>
        <v/>
      </c>
      <c r="F18" s="166" t="n">
        <v>1494</v>
      </c>
      <c r="G18" s="63">
        <f>IFERROR(D18/F18,0)</f>
        <v/>
      </c>
      <c r="H18" s="61" t="n">
        <v>16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/>
      </c>
      <c r="K18" s="172">
        <f>IFERROR(J18/SUM(F18),0)</f>
        <v/>
      </c>
      <c r="L18" s="188" t="n">
        <v>15980.35</v>
      </c>
      <c r="M18" s="89">
        <f>SUM(L18/D18)</f>
        <v/>
      </c>
      <c r="N18" s="130" t="n">
        <v>9487</v>
      </c>
      <c r="O18" s="9" t="n"/>
    </row>
    <row r="19" ht="16.2" customHeight="1" thickBot="1">
      <c r="A19" s="203" t="inlineStr">
        <is>
          <t>Centurion</t>
        </is>
      </c>
      <c r="B19" s="201">
        <f>'2 March - 8 March'!D19</f>
        <v/>
      </c>
      <c r="C19" s="205" t="n">
        <v>0</v>
      </c>
      <c r="D19" s="206" t="n">
        <v>112331.54</v>
      </c>
      <c r="E19" s="207">
        <f>IFERROR((SUM(D19-C19)/C19),0)</f>
        <v/>
      </c>
      <c r="F19" s="208" t="n">
        <v>913</v>
      </c>
      <c r="G19" s="209">
        <f>IFERROR(D19/F19,0)</f>
        <v/>
      </c>
      <c r="H19" s="210" t="n">
        <v>17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/>
      </c>
      <c r="K19" s="213">
        <f>IFERROR(J19/SUM(F19),0)</f>
        <v/>
      </c>
      <c r="L19" s="214" t="n">
        <v>11409.13</v>
      </c>
      <c r="M19" s="215">
        <f>SUM(L19/D19)</f>
        <v/>
      </c>
      <c r="N19" s="216" t="n">
        <v>12844.7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9.44140625" customWidth="1" min="10" max="10"/>
    <col width="10.5546875" bestFit="1" customWidth="1" min="11" max="11"/>
    <col width="12.33203125" bestFit="1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Covers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Promo to Date</t>
        </is>
      </c>
      <c r="K3" s="113" t="inlineStr">
        <is>
          <t>% To Date</t>
        </is>
      </c>
      <c r="L3" s="177" t="inlineStr">
        <is>
          <t>Deliveries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IFERROR(J4/SUM(F4),0)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'9 March - 15 March'!D6</f>
        <v/>
      </c>
      <c r="C6" s="123" t="n">
        <v>339552.82</v>
      </c>
      <c r="D6" s="197" t="n">
        <v>111844.41</v>
      </c>
      <c r="E6" s="162">
        <f>IFERROR((SUM(D6-C6)/C6),0)</f>
        <v/>
      </c>
      <c r="F6" s="165" t="n">
        <v>788</v>
      </c>
      <c r="G6" s="124">
        <f>IFERROR(D6/F6,0)</f>
        <v/>
      </c>
      <c r="H6" s="125" t="n">
        <v>2</v>
      </c>
      <c r="I6" s="168">
        <f>IFERROR(H6/F6,0)</f>
        <v/>
      </c>
      <c r="J6" s="46">
        <f>SUM(358+H6+'24 Feb - 1 March'!H6+'2 March - 8 March'!H6+'9 March - 15 March'!H6)</f>
        <v/>
      </c>
      <c r="K6" s="171">
        <f>IFERROR(J6/SUM(F6),0)</f>
        <v/>
      </c>
      <c r="L6" s="191" t="n">
        <v>37445.3</v>
      </c>
      <c r="M6" s="128">
        <f>SUM(L6/D6)</f>
        <v/>
      </c>
      <c r="N6" s="129" t="n">
        <v>5407.8</v>
      </c>
      <c r="O6" s="26" t="n"/>
    </row>
    <row r="7" ht="15.6" customHeight="1">
      <c r="A7" s="409" t="inlineStr">
        <is>
          <t>Melrose Arch</t>
        </is>
      </c>
      <c r="B7" s="200">
        <f>'9 March - 15 March'!D7</f>
        <v/>
      </c>
      <c r="C7" s="73" t="n">
        <v>237354.06</v>
      </c>
      <c r="D7" s="145" t="n">
        <v>25855.03</v>
      </c>
      <c r="E7" s="163">
        <f>IFERROR((SUM(D7-C7)/C7),0)</f>
        <v/>
      </c>
      <c r="F7" s="166" t="n">
        <v>213</v>
      </c>
      <c r="G7" s="63">
        <f>IFERROR(D7/F7,0)</f>
        <v/>
      </c>
      <c r="H7" s="61" t="n">
        <v>0</v>
      </c>
      <c r="I7" s="169">
        <f>IFERROR(H7/F7,0)</f>
        <v/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/>
      </c>
      <c r="K7" s="172">
        <f>IFERROR(J7/SUM(F7),0)</f>
        <v/>
      </c>
      <c r="L7" s="188" t="n">
        <v>9393.780000000001</v>
      </c>
      <c r="M7" s="89">
        <f>SUM(L7/D7)</f>
        <v/>
      </c>
      <c r="N7" s="130" t="n">
        <v>2994.03</v>
      </c>
      <c r="O7" s="26" t="n"/>
    </row>
    <row r="8" ht="15.6" customHeight="1">
      <c r="A8" s="409" t="inlineStr">
        <is>
          <t>Melville</t>
        </is>
      </c>
      <c r="B8" s="200">
        <f>'9 March - 15 March'!D8</f>
        <v/>
      </c>
      <c r="C8" s="73" t="n">
        <v>127846.77</v>
      </c>
      <c r="D8" s="145" t="n">
        <v>63417.32</v>
      </c>
      <c r="E8" s="163">
        <f>IFERROR((SUM(D8-C8)/C8),0)</f>
        <v/>
      </c>
      <c r="F8" s="166" t="n">
        <v>442</v>
      </c>
      <c r="G8" s="63">
        <f>IFERROR(D8/F8,0)</f>
        <v/>
      </c>
      <c r="H8" s="61" t="n">
        <v>11</v>
      </c>
      <c r="I8" s="169">
        <f>IFERROR(H8/F8,0)</f>
        <v/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/>
      </c>
      <c r="K8" s="172">
        <f>IFERROR(J8/SUM(F8),0)</f>
        <v/>
      </c>
      <c r="L8" s="188" t="n">
        <v>29041.78</v>
      </c>
      <c r="M8" s="89">
        <f>SUM(L8/D8)</f>
        <v/>
      </c>
      <c r="N8" s="130" t="n">
        <v>4694.5</v>
      </c>
      <c r="O8" s="26" t="n"/>
    </row>
    <row r="9" ht="15.6" customHeight="1">
      <c r="A9" s="409" t="inlineStr">
        <is>
          <t>Rosebank</t>
        </is>
      </c>
      <c r="B9" s="200">
        <f>'9 March - 15 March'!D9</f>
        <v/>
      </c>
      <c r="C9" s="73" t="n">
        <v>394259.89</v>
      </c>
      <c r="D9" s="145" t="n">
        <v>100528.78</v>
      </c>
      <c r="E9" s="163">
        <f>IFERROR((SUM(D9-C9)/C9),0)</f>
        <v/>
      </c>
      <c r="F9" s="166" t="n">
        <v>691</v>
      </c>
      <c r="G9" s="63">
        <f>IFERROR(D9/F9,0)</f>
        <v/>
      </c>
      <c r="H9" s="61" t="n">
        <v>4</v>
      </c>
      <c r="I9" s="169">
        <f>IFERROR(H9/F9,0)</f>
        <v/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/>
      </c>
      <c r="K9" s="172">
        <f>IFERROR(J9/SUM(F9),0)</f>
        <v/>
      </c>
      <c r="L9" s="188" t="n">
        <v>20956.78</v>
      </c>
      <c r="M9" s="89">
        <f>SUM(L9/D9)</f>
        <v/>
      </c>
      <c r="N9" s="130" t="n">
        <v>5399.5</v>
      </c>
      <c r="O9" s="26" t="n"/>
    </row>
    <row r="10" ht="15.6" customHeight="1">
      <c r="A10" s="409" t="inlineStr">
        <is>
          <t xml:space="preserve">Waterkloof </t>
        </is>
      </c>
      <c r="B10" s="200">
        <f>'9 March - 15 March'!D10</f>
        <v/>
      </c>
      <c r="C10" s="73" t="n">
        <v>134544.66</v>
      </c>
      <c r="D10" s="145" t="n">
        <v>92887.66</v>
      </c>
      <c r="E10" s="163">
        <f>IFERROR((SUM(D10-C10)/C10),0)</f>
        <v/>
      </c>
      <c r="F10" s="166" t="n">
        <v>628</v>
      </c>
      <c r="G10" s="63">
        <f>IFERROR(D10/F10,0)</f>
        <v/>
      </c>
      <c r="H10" s="61" t="n">
        <v>10</v>
      </c>
      <c r="I10" s="169">
        <f>IFERROR(H10/F10,0)</f>
        <v/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/>
      </c>
      <c r="K10" s="172">
        <f>IFERROR(J10/SUM(F10),0)</f>
        <v/>
      </c>
      <c r="L10" s="188" t="n">
        <v>41966.52</v>
      </c>
      <c r="M10" s="89">
        <f>SUM(L10/D10)</f>
        <v/>
      </c>
      <c r="N10" s="130" t="n">
        <v>7227.2</v>
      </c>
      <c r="O10" s="26" t="n"/>
    </row>
    <row r="11" ht="15.6" customHeight="1">
      <c r="A11" s="409" t="inlineStr">
        <is>
          <t>Eagles Landing</t>
        </is>
      </c>
      <c r="B11" s="200">
        <f>'9 March - 15 March'!D11</f>
        <v/>
      </c>
      <c r="C11" s="73" t="n">
        <v>369279.11</v>
      </c>
      <c r="D11" s="145" t="n">
        <v>136221.63</v>
      </c>
      <c r="E11" s="163">
        <f>IFERROR((SUM(D11-C11)/C11),0)</f>
        <v/>
      </c>
      <c r="F11" s="166" t="n">
        <v>925</v>
      </c>
      <c r="G11" s="63">
        <f>IFERROR(D11/F11,0)</f>
        <v/>
      </c>
      <c r="H11" s="61" t="n">
        <v>0</v>
      </c>
      <c r="I11" s="169">
        <f>IFERROR(H11/F11,0)</f>
        <v/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/>
      </c>
      <c r="K11" s="172">
        <f>IFERROR(J11/SUM(F11),0)</f>
        <v/>
      </c>
      <c r="L11" s="188" t="n">
        <v>48279.27</v>
      </c>
      <c r="M11" s="89">
        <f>SUM(L11/D11)</f>
        <v/>
      </c>
      <c r="N11" s="130" t="n">
        <v>9909.75</v>
      </c>
      <c r="O11" s="26" t="n"/>
    </row>
    <row r="12" ht="15.6" customHeight="1">
      <c r="A12" s="198" t="inlineStr">
        <is>
          <t>Stellenbosch</t>
        </is>
      </c>
      <c r="B12" s="200">
        <f>'9 March - 15 March'!D12</f>
        <v/>
      </c>
      <c r="C12" s="73" t="n">
        <v>166773.71</v>
      </c>
      <c r="D12" s="145" t="n">
        <v>70519.10000000001</v>
      </c>
      <c r="E12" s="163">
        <f>IFERROR((SUM(D12-C12)/C12),0)</f>
        <v/>
      </c>
      <c r="F12" s="166" t="n">
        <v>535</v>
      </c>
      <c r="G12" s="63">
        <f>IFERROR(D12/F12,0)</f>
        <v/>
      </c>
      <c r="H12" s="61" t="n">
        <v>9</v>
      </c>
      <c r="I12" s="169">
        <f>IFERROR(H12/F12,0)</f>
        <v/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/>
      </c>
      <c r="K12" s="172">
        <f>IFERROR(J12/SUM(F12),0)</f>
        <v/>
      </c>
      <c r="L12" s="188" t="n">
        <v>24933.22</v>
      </c>
      <c r="M12" s="89">
        <f>SUM(L12/D12)</f>
        <v/>
      </c>
      <c r="N12" s="130" t="n">
        <v>6280</v>
      </c>
      <c r="O12" s="26" t="n"/>
    </row>
    <row r="13" ht="15.6" customHeight="1">
      <c r="A13" s="198" t="inlineStr">
        <is>
          <t>Lynnwood</t>
        </is>
      </c>
      <c r="B13" s="200">
        <f>'9 March - 15 March'!D13</f>
        <v/>
      </c>
      <c r="C13" s="73" t="n">
        <v>231068.59</v>
      </c>
      <c r="D13" s="145" t="n">
        <v>128530.38</v>
      </c>
      <c r="E13" s="163">
        <f>IFERROR((SUM(D13-C13)/C13),0)</f>
        <v/>
      </c>
      <c r="F13" s="166" t="n">
        <v>918</v>
      </c>
      <c r="G13" s="63">
        <f>IFERROR(D13/F13,0)</f>
        <v/>
      </c>
      <c r="H13" s="61" t="n">
        <v>12</v>
      </c>
      <c r="I13" s="169">
        <f>IFERROR(H13/F13,0)</f>
        <v/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/>
      </c>
      <c r="K13" s="172">
        <f>IFERROR(J13/SUM(F13),0)</f>
        <v/>
      </c>
      <c r="L13" s="188" t="n">
        <v>38197.39</v>
      </c>
      <c r="M13" s="89">
        <f>SUM(L13/D13)</f>
        <v/>
      </c>
      <c r="N13" s="130" t="n">
        <v>5526</v>
      </c>
      <c r="O13" s="26" t="n"/>
    </row>
    <row r="14" hidden="1" ht="15.6" customHeight="1">
      <c r="A14" s="198" t="inlineStr">
        <is>
          <t>Wellington</t>
        </is>
      </c>
      <c r="B14" s="200">
        <f>'9 March - 15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169">
        <f>IFERROR(H14/F14,0)</f>
        <v/>
      </c>
      <c r="J14" s="46">
        <f>SUM(H14)</f>
        <v/>
      </c>
      <c r="K14" s="172">
        <f>IFERROR(J14/SUM(F14),0)</f>
        <v/>
      </c>
      <c r="L14" s="188" t="n"/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'9 March - 15 March'!D15</f>
        <v/>
      </c>
      <c r="C15" s="73" t="n">
        <v>407133.91</v>
      </c>
      <c r="D15" s="145" t="n">
        <v>137714.02</v>
      </c>
      <c r="E15" s="163">
        <f>IFERROR((SUM(D15-C15)/C15),0)</f>
        <v/>
      </c>
      <c r="F15" s="166" t="n">
        <v>1028</v>
      </c>
      <c r="G15" s="63">
        <f>IFERROR(D15/F15,0)</f>
        <v/>
      </c>
      <c r="H15" s="61" t="n">
        <v>0</v>
      </c>
      <c r="I15" s="169">
        <f>IFERROR(H15/F15,0)</f>
        <v/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/>
      </c>
      <c r="K15" s="172">
        <f>IFERROR(J15/SUM(F15),0)</f>
        <v/>
      </c>
      <c r="L15" s="188" t="n">
        <v>16962.61</v>
      </c>
      <c r="M15" s="89">
        <f>SUM(L15/D15)</f>
        <v/>
      </c>
      <c r="N15" s="130" t="n">
        <v>3027.4</v>
      </c>
      <c r="O15" s="9" t="n"/>
    </row>
    <row r="16" ht="15.6" customHeight="1">
      <c r="A16" s="198" t="inlineStr">
        <is>
          <t>Kyalami Corner</t>
        </is>
      </c>
      <c r="B16" s="200">
        <f>'9 March - 15 March'!D16</f>
        <v/>
      </c>
      <c r="C16" s="73" t="n">
        <v>164652.97</v>
      </c>
      <c r="D16" s="145" t="n">
        <v>63130.56</v>
      </c>
      <c r="E16" s="163">
        <f>IFERROR((SUM(D16-C16)/C16),0)</f>
        <v/>
      </c>
      <c r="F16" s="166" t="n">
        <v>397</v>
      </c>
      <c r="G16" s="63">
        <f>IFERROR(D16/F16,0)</f>
        <v/>
      </c>
      <c r="H16" s="61" t="n">
        <v>0</v>
      </c>
      <c r="I16" s="169">
        <f>IFERROR(H16/F16,0)</f>
        <v/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/>
      </c>
      <c r="K16" s="172">
        <f>IFERROR(J16/SUM(F16),0)</f>
        <v/>
      </c>
      <c r="L16" s="188" t="n">
        <v>28954.16</v>
      </c>
      <c r="M16" s="89">
        <f>SUM(L16/D16)</f>
        <v/>
      </c>
      <c r="N16" s="130" t="n">
        <v>3918</v>
      </c>
      <c r="O16" s="9" t="n"/>
    </row>
    <row r="17" ht="15.6" customHeight="1">
      <c r="A17" s="198" t="inlineStr">
        <is>
          <t>Paulshof</t>
        </is>
      </c>
      <c r="B17" s="200">
        <f>'9 March - 15 March'!D17</f>
        <v/>
      </c>
      <c r="C17" s="73" t="n">
        <v>250243.46</v>
      </c>
      <c r="D17" s="145" t="n">
        <v>99672.75</v>
      </c>
      <c r="E17" s="163">
        <f>IFERROR((SUM(D17-C17)/C17),0)</f>
        <v/>
      </c>
      <c r="F17" s="166" t="n">
        <v>679</v>
      </c>
      <c r="G17" s="63">
        <f>IFERROR(D17/F17,0)</f>
        <v/>
      </c>
      <c r="H17" s="61" t="n">
        <v>0</v>
      </c>
      <c r="I17" s="169">
        <f>IFERROR(H17/F17,0)</f>
        <v/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/>
      </c>
      <c r="K17" s="172">
        <f>IFERROR(J17/SUM(F17),0)</f>
        <v/>
      </c>
      <c r="L17" s="188" t="n">
        <v>23448.09</v>
      </c>
      <c r="M17" s="89">
        <f>SUM(L17/D17)</f>
        <v/>
      </c>
      <c r="N17" s="130" t="n">
        <v>6814.55</v>
      </c>
      <c r="O17" s="9" t="n"/>
    </row>
    <row r="18" ht="15.6" customHeight="1">
      <c r="A18" s="198" t="inlineStr">
        <is>
          <t>Queenswood</t>
        </is>
      </c>
      <c r="B18" s="200">
        <f>'9 March - 15 March'!D18</f>
        <v/>
      </c>
      <c r="C18" s="73" t="n">
        <v>198899.77</v>
      </c>
      <c r="D18" s="145" t="n">
        <v>112201.62</v>
      </c>
      <c r="E18" s="163">
        <f>IFERROR((SUM(D18-C18)/C18),0)</f>
        <v/>
      </c>
      <c r="F18" s="166" t="n">
        <v>888</v>
      </c>
      <c r="G18" s="63">
        <f>IFERROR(D18/F18,0)</f>
        <v/>
      </c>
      <c r="H18" s="61" t="n">
        <v>12</v>
      </c>
      <c r="I18" s="169">
        <f>IFERROR(H18/F18,0)</f>
        <v/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/>
      </c>
      <c r="K18" s="172">
        <f>IFERROR(J18/SUM(F18),0)</f>
        <v/>
      </c>
      <c r="L18" s="188" t="n">
        <v>31982.87</v>
      </c>
      <c r="M18" s="89">
        <f>SUM(L18/D18)</f>
        <v/>
      </c>
      <c r="N18" s="130" t="n">
        <v>5233.6</v>
      </c>
      <c r="O18" s="9" t="n"/>
    </row>
    <row r="19" ht="16.2" customHeight="1" thickBot="1">
      <c r="A19" s="203" t="inlineStr">
        <is>
          <t>Centurion</t>
        </is>
      </c>
      <c r="B19" s="201">
        <f>'9 March - 15 March'!D19</f>
        <v/>
      </c>
      <c r="C19" s="205" t="n">
        <v>0</v>
      </c>
      <c r="D19" s="206" t="n">
        <v>54419.61</v>
      </c>
      <c r="E19" s="207">
        <f>IFERROR((SUM(D19-C19)/C19),0)</f>
        <v/>
      </c>
      <c r="F19" s="208" t="n">
        <v>418</v>
      </c>
      <c r="G19" s="209">
        <f>IFERROR(D19/F19,0)</f>
        <v/>
      </c>
      <c r="H19" s="210" t="n">
        <v>0</v>
      </c>
      <c r="I19" s="211">
        <f>IFERROR(H19/F19,0)</f>
        <v/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/>
      </c>
      <c r="K19" s="213">
        <f>IFERROR(J19/SUM(F19),0)</f>
        <v/>
      </c>
      <c r="L19" s="214" t="n">
        <v>15148.48</v>
      </c>
      <c r="M19" s="215">
        <f>SUM(L19/D19)</f>
        <v/>
      </c>
      <c r="N19" s="216" t="n">
        <v>5509.9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K19">
    <cfRule type="cellIs" priority="3" operator="equal" dxfId="0">
      <formula>0</formula>
    </cfRule>
  </conditionalFormatting>
  <conditionalFormatting sqref="L7:L19">
    <cfRule type="cellIs" priority="2" operator="equal" dxfId="0">
      <formula>0</formula>
    </cfRule>
  </conditionalFormatting>
  <conditionalFormatting sqref="M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23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187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0</v>
      </c>
      <c r="C6" s="123" t="n">
        <v>156678.2</v>
      </c>
      <c r="D6" s="197" t="n">
        <v>84130.96000000001</v>
      </c>
      <c r="E6" s="162">
        <f>IFERROR((SUM(D6-C6)/C6),0)</f>
        <v/>
      </c>
      <c r="F6" s="165" t="n">
        <v>303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57299.37</v>
      </c>
      <c r="K6" s="128">
        <f>SUM(J6/D6)</f>
        <v/>
      </c>
      <c r="L6" s="237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188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0</v>
      </c>
      <c r="C8" s="73" t="n">
        <v>35394.35</v>
      </c>
      <c r="D8" s="145" t="n">
        <v>18197.53</v>
      </c>
      <c r="E8" s="163">
        <f>IFERROR((SUM(D8-C8)/C8),0)</f>
        <v/>
      </c>
      <c r="F8" s="166" t="n">
        <v>82</v>
      </c>
      <c r="G8" s="63">
        <f>IFERROR(D8/F8,0)</f>
        <v/>
      </c>
      <c r="H8" s="61" t="n">
        <v>0</v>
      </c>
      <c r="I8" s="28">
        <f>IFERROR(H8/F8,0)</f>
        <v/>
      </c>
      <c r="J8" s="46">
        <f>6797.95+876</f>
        <v/>
      </c>
      <c r="K8" s="89">
        <f>SUM(J8/D8)</f>
        <v/>
      </c>
      <c r="L8" s="188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188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0</v>
      </c>
      <c r="C10" s="73" t="n">
        <v>36702.57</v>
      </c>
      <c r="D10" s="145" t="n">
        <v>43503.64</v>
      </c>
      <c r="E10" s="163">
        <f>IFERROR((SUM(D10-C10)/C10),0)</f>
        <v/>
      </c>
      <c r="F10" s="166" t="n">
        <v>167</v>
      </c>
      <c r="G10" s="63">
        <f>IFERROR(D10/F10,0)</f>
        <v/>
      </c>
      <c r="H10" s="61" t="n">
        <v>0</v>
      </c>
      <c r="I10" s="28">
        <f>IFERROR(H10/F10,0)</f>
        <v/>
      </c>
      <c r="J10" s="46">
        <f>6977.8+15640.9</f>
        <v/>
      </c>
      <c r="K10" s="89">
        <f>SUM(J10/D10)</f>
        <v/>
      </c>
      <c r="L10" s="188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0</v>
      </c>
      <c r="D11" s="145" t="n">
        <v>0</v>
      </c>
      <c r="E11" s="163">
        <f>IFERROR((SUM(D11-C11)/C11),0)</f>
        <v/>
      </c>
      <c r="F11" s="166" t="n">
        <v>0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0</v>
      </c>
      <c r="K11" s="89">
        <f>SUM(J11/D11)</f>
        <v/>
      </c>
      <c r="L11" s="188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0</v>
      </c>
      <c r="D12" s="145" t="n">
        <v>0</v>
      </c>
      <c r="E12" s="163">
        <f>IFERROR((SUM(D12-C12)/C12),0)</f>
        <v/>
      </c>
      <c r="F12" s="166" t="n">
        <v>0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0</v>
      </c>
      <c r="K12" s="89">
        <f>SUM(J12/D12)</f>
        <v/>
      </c>
      <c r="L12" s="188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0</v>
      </c>
      <c r="C13" s="73" t="n">
        <v>107741.9</v>
      </c>
      <c r="D13" s="145" t="n">
        <v>67555.83</v>
      </c>
      <c r="E13" s="163">
        <f>IFERROR((SUM(D13-C13)/C13),0)</f>
        <v/>
      </c>
      <c r="F13" s="166" t="n">
        <v>290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58535.59</v>
      </c>
      <c r="K13" s="89">
        <f>SUM(J13/D13)</f>
        <v/>
      </c>
      <c r="L13" s="188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188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0</v>
      </c>
      <c r="C15" s="73" t="n">
        <v>74337.42999999999</v>
      </c>
      <c r="D15" s="145" t="n">
        <v>16693.68</v>
      </c>
      <c r="E15" s="163">
        <f>IFERROR((SUM(D15-C15)/C15),0)</f>
        <v/>
      </c>
      <c r="F15" s="166" t="n">
        <v>65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188" t="n">
        <v>16693.68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188">
        <f>SUM(D16-J16)</f>
        <v/>
      </c>
      <c r="M16" s="89">
        <f>SUM(L16/D16)</f>
        <v/>
      </c>
      <c r="N16" s="130" t="n">
        <v>0</v>
      </c>
      <c r="O16" s="9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188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0</v>
      </c>
      <c r="C18" s="73" t="n">
        <v>90888.42999999999</v>
      </c>
      <c r="D18" s="145" t="n">
        <v>65693.75999999999</v>
      </c>
      <c r="E18" s="163">
        <f>IFERROR((SUM(D18-C18)/C18),0)</f>
        <v/>
      </c>
      <c r="F18" s="166" t="n">
        <v>263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49103.95</v>
      </c>
      <c r="K18" s="89">
        <f>SUM(J18/D18)</f>
        <v/>
      </c>
      <c r="L18" s="188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0</v>
      </c>
      <c r="E19" s="207">
        <f>IFERROR((SUM(D19-C19)/C19),0)</f>
        <v/>
      </c>
      <c r="F19" s="167" t="n">
        <v>0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0</v>
      </c>
      <c r="K19" s="116">
        <f>SUM(J19/D19)</f>
        <v/>
      </c>
      <c r="L19" s="189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21">
        <f>SUM(J6:J19)</f>
        <v/>
      </c>
      <c r="K4" s="222">
        <f>SUM(J4/D4)</f>
        <v/>
      </c>
      <c r="L4" s="239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121">
        <f>H5+'Nov 19 - Nov 25'!I5+'Nov 26 - Dec 2'!I5+'Dec 3 - Dec 9'!I5+'Dec 10 - Dec 16'!I5+'Dec 17 - Dec 23'!I5+'Dec 24 - Dec 30'!I5</f>
        <v/>
      </c>
      <c r="K5" s="122">
        <f>IFERROR(J5/SUM(F5),0)</f>
        <v/>
      </c>
      <c r="L5" s="240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 t="n">
        <v>84130.96000000001</v>
      </c>
      <c r="C6" s="123" t="n">
        <v>277850.47</v>
      </c>
      <c r="D6" s="197" t="n">
        <v>78719.35000000001</v>
      </c>
      <c r="E6" s="162">
        <f>IFERROR((SUM(D6-C6)/C6),0)</f>
        <v/>
      </c>
      <c r="F6" s="165" t="n">
        <v>315</v>
      </c>
      <c r="G6" s="124">
        <f>IFERROR(D6/F6,0)</f>
        <v/>
      </c>
      <c r="H6" s="125" t="n">
        <v>0</v>
      </c>
      <c r="I6" s="126">
        <f>IFERROR(H6/F6,0)</f>
        <v/>
      </c>
      <c r="J6" s="127" t="n">
        <v>53300.2</v>
      </c>
      <c r="K6" s="128">
        <f>SUM(J6/D6)</f>
        <v/>
      </c>
      <c r="L6" s="241">
        <f>SUM(D6-J6)</f>
        <v/>
      </c>
      <c r="M6" s="128">
        <f>SUM(L6/D6)</f>
        <v/>
      </c>
      <c r="N6" s="129" t="n">
        <v>0</v>
      </c>
      <c r="O6" s="26" t="n"/>
    </row>
    <row r="7" ht="15.6" customHeight="1">
      <c r="A7" s="409" t="inlineStr">
        <is>
          <t>Melrose Arch</t>
        </is>
      </c>
      <c r="B7" s="200" t="n">
        <v>0</v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46" t="n">
        <v>0</v>
      </c>
      <c r="K7" s="89">
        <f>SUM(J7/D7)</f>
        <v/>
      </c>
      <c r="L7" s="242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 t="n">
        <v>18197.53</v>
      </c>
      <c r="C8" s="73" t="n">
        <v>149467.36</v>
      </c>
      <c r="D8" s="145" t="n">
        <v>38542.59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46" t="n">
        <v>26268.8</v>
      </c>
      <c r="K8" s="89">
        <f>SUM(J8/D8)</f>
        <v/>
      </c>
      <c r="L8" s="242">
        <f>SUM(D8-J8)</f>
        <v/>
      </c>
      <c r="M8" s="89">
        <f>SUM(L8/D8)</f>
        <v/>
      </c>
      <c r="N8" s="130" t="n">
        <v>0</v>
      </c>
      <c r="O8" s="26" t="n"/>
    </row>
    <row r="9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46" t="n">
        <v>0</v>
      </c>
      <c r="K9" s="89">
        <f>SUM(J9/D9)</f>
        <v/>
      </c>
      <c r="L9" s="242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 t="n">
        <v>43503.64</v>
      </c>
      <c r="C10" s="73" t="n">
        <v>146819.43</v>
      </c>
      <c r="D10" s="145" t="n">
        <v>89492.23</v>
      </c>
      <c r="E10" s="163">
        <f>IFERROR((SUM(D10-C10)/C10),0)</f>
        <v/>
      </c>
      <c r="F10" s="166" t="n">
        <v>354</v>
      </c>
      <c r="G10" s="63">
        <f>IFERROR(D10/F10,0)</f>
        <v/>
      </c>
      <c r="H10" s="61" t="n">
        <v>0</v>
      </c>
      <c r="I10" s="28">
        <f>IFERROR(H10/F10,0)</f>
        <v/>
      </c>
      <c r="J10" s="46" t="n">
        <v>46212.32</v>
      </c>
      <c r="K10" s="89">
        <f>SUM(J10/D10)</f>
        <v/>
      </c>
      <c r="L10" s="242">
        <f>SUM(D10-J10)</f>
        <v/>
      </c>
      <c r="M10" s="89">
        <f>SUM(L10/D10)</f>
        <v/>
      </c>
      <c r="N10" s="130" t="n">
        <v>0</v>
      </c>
      <c r="O10" s="26" t="n"/>
    </row>
    <row r="11" ht="15.6" customHeight="1">
      <c r="A11" s="409" t="inlineStr">
        <is>
          <t>Eagles Landing</t>
        </is>
      </c>
      <c r="B11" s="200" t="n">
        <v>0</v>
      </c>
      <c r="C11" s="73" t="n">
        <v>382519.5</v>
      </c>
      <c r="D11" s="145" t="n">
        <v>57987.75</v>
      </c>
      <c r="E11" s="163">
        <f>IFERROR((SUM(D11-C11)/C11),0)</f>
        <v/>
      </c>
      <c r="F11" s="166" t="n">
        <v>175</v>
      </c>
      <c r="G11" s="63">
        <f>IFERROR(D11/F11,0)</f>
        <v/>
      </c>
      <c r="H11" s="61" t="n">
        <v>0</v>
      </c>
      <c r="I11" s="28">
        <f>IFERROR(H11/F11,0)</f>
        <v/>
      </c>
      <c r="J11" s="46" t="n">
        <v>21284.79</v>
      </c>
      <c r="K11" s="89">
        <f>SUM(J11/D11)</f>
        <v/>
      </c>
      <c r="L11" s="242">
        <f>SUM(D11-J11)</f>
        <v/>
      </c>
      <c r="M11" s="89">
        <f>SUM(L11/D11)</f>
        <v/>
      </c>
      <c r="N11" s="130" t="n">
        <v>0</v>
      </c>
      <c r="O11" s="26" t="n"/>
    </row>
    <row r="12" ht="15.6" customHeight="1">
      <c r="A12" s="198" t="inlineStr">
        <is>
          <t>Stellenbosch</t>
        </is>
      </c>
      <c r="B12" s="200" t="n">
        <v>0</v>
      </c>
      <c r="C12" s="73" t="n">
        <v>144817.99</v>
      </c>
      <c r="D12" s="145" t="n">
        <v>19321.62</v>
      </c>
      <c r="E12" s="163">
        <f>IFERROR((SUM(D12-C12)/C12),0)</f>
        <v/>
      </c>
      <c r="F12" s="166" t="n">
        <v>88</v>
      </c>
      <c r="G12" s="63">
        <f>IFERROR(D12/F12,0)</f>
        <v/>
      </c>
      <c r="H12" s="61" t="n">
        <v>0</v>
      </c>
      <c r="I12" s="28">
        <f>IFERROR(H12/F12,0)</f>
        <v/>
      </c>
      <c r="J12" s="46" t="n">
        <v>1472</v>
      </c>
      <c r="K12" s="89">
        <f>SUM(J12/D12)</f>
        <v/>
      </c>
      <c r="L12" s="242">
        <f>SUM(D12-J12)</f>
        <v/>
      </c>
      <c r="M12" s="89">
        <f>SUM(L12/D12)</f>
        <v/>
      </c>
      <c r="N12" s="130" t="n">
        <v>0</v>
      </c>
      <c r="O12" s="26" t="n"/>
    </row>
    <row r="13" ht="15.6" customHeight="1">
      <c r="A13" s="198" t="inlineStr">
        <is>
          <t>Lynnwood</t>
        </is>
      </c>
      <c r="B13" s="200" t="n">
        <v>67555.83</v>
      </c>
      <c r="C13" s="73" t="n">
        <v>233865.68</v>
      </c>
      <c r="D13" s="145" t="n">
        <v>107050.12</v>
      </c>
      <c r="E13" s="163">
        <f>IFERROR((SUM(D13-C13)/C13),0)</f>
        <v/>
      </c>
      <c r="F13" s="166" t="n">
        <v>412</v>
      </c>
      <c r="G13" s="63">
        <f>IFERROR(D13/F13,0)</f>
        <v/>
      </c>
      <c r="H13" s="61" t="n">
        <v>0</v>
      </c>
      <c r="I13" s="28">
        <f>IFERROR(H13/F13,0)</f>
        <v/>
      </c>
      <c r="J13" s="46" t="n">
        <v>60797.54</v>
      </c>
      <c r="K13" s="89">
        <f>SUM(J13/D13)</f>
        <v/>
      </c>
      <c r="L13" s="242">
        <f>SUM(D13-J13)</f>
        <v/>
      </c>
      <c r="M13" s="89">
        <f>SUM(L13/D13)</f>
        <v/>
      </c>
      <c r="N13" s="130" t="n">
        <v>0</v>
      </c>
      <c r="O13" s="26" t="n"/>
    </row>
    <row r="14" hidden="1" ht="15.6" customHeight="1">
      <c r="A14" s="198" t="inlineStr">
        <is>
          <t>Wellington</t>
        </is>
      </c>
      <c r="B14" s="200">
        <f>'16 March - 22 March'!D14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46">
        <f>SUM(H14)</f>
        <v/>
      </c>
      <c r="K14" s="89">
        <f>SUM(J14/D14)</f>
        <v/>
      </c>
      <c r="L14" s="242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 t="n">
        <v>16693.68</v>
      </c>
      <c r="C15" s="73" t="n">
        <v>163941.61</v>
      </c>
      <c r="D15" s="145" t="n">
        <v>21734.69</v>
      </c>
      <c r="E15" s="163">
        <f>IFERROR((SUM(D15-C15)/C15),0)</f>
        <v/>
      </c>
      <c r="F15" s="166" t="n">
        <v>87</v>
      </c>
      <c r="G15" s="63">
        <f>IFERROR(D15/F15,0)</f>
        <v/>
      </c>
      <c r="H15" s="61" t="n">
        <v>0</v>
      </c>
      <c r="I15" s="28">
        <f>IFERROR(H15/F15,0)</f>
        <v/>
      </c>
      <c r="J15" s="46" t="n">
        <v>0</v>
      </c>
      <c r="K15" s="89">
        <f>SUM(J15/D15)</f>
        <v/>
      </c>
      <c r="L15" s="242" t="n">
        <v>21734.69</v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 t="n">
        <v>0</v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46" t="n">
        <v>0</v>
      </c>
      <c r="K16" s="89">
        <f>SUM(J16/D16)</f>
        <v/>
      </c>
      <c r="L16" s="242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 t="n">
        <v>0</v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46" t="n">
        <v>0</v>
      </c>
      <c r="K17" s="89">
        <f>SUM(J17/D17)</f>
        <v/>
      </c>
      <c r="L17" s="242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 t="n">
        <v>65693.75999999999</v>
      </c>
      <c r="C18" s="73" t="n">
        <v>197506.48</v>
      </c>
      <c r="D18" s="145" t="n">
        <v>77459.94</v>
      </c>
      <c r="E18" s="163">
        <f>IFERROR((SUM(D18-C18)/C18),0)</f>
        <v/>
      </c>
      <c r="F18" s="166" t="n">
        <v>345</v>
      </c>
      <c r="G18" s="63">
        <f>IFERROR(D18/F18,0)</f>
        <v/>
      </c>
      <c r="H18" s="61" t="n">
        <v>0</v>
      </c>
      <c r="I18" s="28">
        <f>IFERROR(H18/F18,0)</f>
        <v/>
      </c>
      <c r="J18" s="46" t="n">
        <v>45313.83</v>
      </c>
      <c r="K18" s="89">
        <f>SUM(J18/D18)</f>
        <v/>
      </c>
      <c r="L18" s="242">
        <f>SUM(D18-J18)</f>
        <v/>
      </c>
      <c r="M18" s="89">
        <f>SUM(L18/D18)</f>
        <v/>
      </c>
      <c r="N18" s="130" t="n">
        <v>0</v>
      </c>
      <c r="O18" s="9" t="n"/>
    </row>
    <row r="19" ht="16.2" customHeight="1" thickBot="1">
      <c r="A19" s="203" t="inlineStr">
        <is>
          <t>Centurion</t>
        </is>
      </c>
      <c r="B19" s="201" t="n">
        <v>0</v>
      </c>
      <c r="C19" s="205" t="n">
        <v>0</v>
      </c>
      <c r="D19" s="206" t="n">
        <v>24503.28</v>
      </c>
      <c r="E19" s="207">
        <f>IFERROR((SUM(D19-C19)/C19),0)</f>
        <v/>
      </c>
      <c r="F19" s="167" t="n">
        <v>108</v>
      </c>
      <c r="G19" s="132">
        <f>IFERROR(D19/F19,0)</f>
        <v/>
      </c>
      <c r="H19" s="133" t="n">
        <v>0</v>
      </c>
      <c r="I19" s="114">
        <f>IFERROR(H19/F19,0)</f>
        <v/>
      </c>
      <c r="J19" s="115" t="n">
        <v>14752.4</v>
      </c>
      <c r="K19" s="116">
        <f>SUM(J19/D19)</f>
        <v/>
      </c>
      <c r="L19" s="243">
        <f>SUM(D19-J19)</f>
        <v/>
      </c>
      <c r="M19" s="116">
        <f>SUM(L19/D19)</f>
        <v/>
      </c>
      <c r="N19" s="134" t="n">
        <v>0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4" operator="equal" dxfId="0">
      <formula>0</formula>
    </cfRule>
  </conditionalFormatting>
  <conditionalFormatting sqref="D7:D19">
    <cfRule type="cellIs" priority="3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'4 May - 10 May 2020'!D6</f>
        <v/>
      </c>
      <c r="C6" s="123" t="n">
        <v>217085.03</v>
      </c>
      <c r="D6" s="197" t="n">
        <v>47094.04</v>
      </c>
      <c r="E6" s="162">
        <f>IFERROR((SUM(D6-C6)/C6),0)</f>
        <v/>
      </c>
      <c r="F6" s="165" t="n">
        <v>195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26448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1033</v>
      </c>
      <c r="O6" s="26" t="n"/>
    </row>
    <row r="7" ht="15.6" customHeight="1">
      <c r="A7" s="409" t="inlineStr">
        <is>
          <t>Melrose Arch</t>
        </is>
      </c>
      <c r="B7" s="200">
        <f>'4 May - 10 May 2020'!D7</f>
        <v/>
      </c>
      <c r="C7" s="73" t="n">
        <v>0</v>
      </c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'4 May - 10 May 2020'!D8</f>
        <v/>
      </c>
      <c r="C8" s="73" t="n">
        <v>98960.8</v>
      </c>
      <c r="D8" s="145" t="n">
        <v>32529.48</v>
      </c>
      <c r="E8" s="163">
        <f>IFERROR((SUM(D8-C8)/C8),0)</f>
        <v/>
      </c>
      <c r="F8" s="166" t="n">
        <v>162</v>
      </c>
      <c r="G8" s="63">
        <f>IFERROR(D8/F8,0)</f>
        <v/>
      </c>
      <c r="H8" s="61" t="n">
        <v>0</v>
      </c>
      <c r="I8" s="28">
        <f>IFERROR(H8/F8,0)</f>
        <v/>
      </c>
      <c r="J8" s="247" t="n">
        <v>11378.17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489</v>
      </c>
      <c r="O8" s="26" t="n"/>
    </row>
    <row r="9" ht="15.6" customHeight="1">
      <c r="A9" s="409" t="inlineStr">
        <is>
          <t>Rosebank</t>
        </is>
      </c>
      <c r="B9" s="200">
        <f>'4 May - 10 May 2020'!D9</f>
        <v/>
      </c>
      <c r="C9" s="73" t="n">
        <v>0</v>
      </c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'4 May - 10 May 2020'!D10</f>
        <v/>
      </c>
      <c r="C10" s="73" t="n">
        <v>130423.4</v>
      </c>
      <c r="D10" s="145" t="n">
        <v>65139.06</v>
      </c>
      <c r="E10" s="163">
        <f>IFERROR((SUM(D10-C10)/C10),0)</f>
        <v/>
      </c>
      <c r="F10" s="166" t="n">
        <v>273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31094.94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2704</v>
      </c>
      <c r="O10" s="26" t="n"/>
    </row>
    <row r="11" ht="15.6" customHeight="1">
      <c r="A11" s="409" t="inlineStr">
        <is>
          <t>Eagles Landing</t>
        </is>
      </c>
      <c r="B11" s="200">
        <f>'4 May - 10 May 2020'!D11</f>
        <v/>
      </c>
      <c r="C11" s="73" t="n">
        <v>321781.94</v>
      </c>
      <c r="D11" s="145" t="n">
        <v>73753.5</v>
      </c>
      <c r="E11" s="163">
        <f>IFERROR((SUM(D11-C11)/C11),0)</f>
        <v/>
      </c>
      <c r="F11" s="166" t="n">
        <v>288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19487.39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643.7</v>
      </c>
      <c r="O11" s="26" t="n"/>
    </row>
    <row r="12" ht="15.6" customHeight="1">
      <c r="A12" s="198" t="inlineStr">
        <is>
          <t>Stellenbosch</t>
        </is>
      </c>
      <c r="B12" s="200">
        <f>'4 May - 10 May 2020'!D12</f>
        <v/>
      </c>
      <c r="C12" s="73" t="n">
        <v>126268.32</v>
      </c>
      <c r="D12" s="145" t="n">
        <v>26049.29</v>
      </c>
      <c r="E12" s="163">
        <f>IFERROR((SUM(D12-C12)/C12),0)</f>
        <v/>
      </c>
      <c r="F12" s="166" t="n">
        <v>113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3145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251.5</v>
      </c>
      <c r="O12" s="26" t="n"/>
    </row>
    <row r="13" ht="15.6" customHeight="1">
      <c r="A13" s="198" t="inlineStr">
        <is>
          <t>Lynnwood</t>
        </is>
      </c>
      <c r="B13" s="200">
        <f>'4 May - 10 May 2020'!D13</f>
        <v/>
      </c>
      <c r="C13" s="73" t="n">
        <v>195027.05</v>
      </c>
      <c r="D13" s="145" t="n">
        <v>63028.93</v>
      </c>
      <c r="E13" s="163">
        <f>IFERROR((SUM(D13-C13)/C13),0)</f>
        <v/>
      </c>
      <c r="F13" s="166" t="n">
        <v>269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32615.99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766</v>
      </c>
      <c r="O13" s="26" t="n"/>
    </row>
    <row r="14" hidden="1" ht="15.6" customHeight="1">
      <c r="A14" s="198" t="inlineStr">
        <is>
          <t>Wellington</t>
        </is>
      </c>
      <c r="B14" s="200">
        <f>'4 May - 10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'4 May - 10 May 2020'!D15</f>
        <v/>
      </c>
      <c r="C15" s="73" t="n">
        <v>0</v>
      </c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'4 May - 10 May 2020'!D16</f>
        <v/>
      </c>
      <c r="C16" s="73" t="n">
        <v>0</v>
      </c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'4 May - 10 May 2020'!D17</f>
        <v/>
      </c>
      <c r="C17" s="73" t="n">
        <v>0</v>
      </c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0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'4 May - 10 May 2020'!D18</f>
        <v/>
      </c>
      <c r="C18" s="73" t="n">
        <v>151423.45</v>
      </c>
      <c r="D18" s="145" t="n">
        <v>58245.63</v>
      </c>
      <c r="E18" s="163">
        <f>IFERROR((SUM(D18-C18)/C18),0)</f>
        <v/>
      </c>
      <c r="F18" s="166" t="n">
        <v>251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27282.48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1361</v>
      </c>
      <c r="O18" s="9" t="n"/>
    </row>
    <row r="19" ht="16.2" customHeight="1" thickBot="1">
      <c r="A19" s="203" t="inlineStr">
        <is>
          <t>Centurion</t>
        </is>
      </c>
      <c r="B19" s="201">
        <f>'4 May - 10 May 2020'!D19</f>
        <v/>
      </c>
      <c r="C19" s="205" t="n"/>
      <c r="D19" s="206" t="n">
        <v>33527.38</v>
      </c>
      <c r="E19" s="207">
        <f>IFERROR((SUM(D19-C19)/C19),0)</f>
        <v/>
      </c>
      <c r="F19" s="167" t="n">
        <v>180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18173.22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1461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'11 May - 17 May 2020'!D6</f>
        <v/>
      </c>
      <c r="C6" s="123" t="n">
        <v>221316.49</v>
      </c>
      <c r="D6" s="197" t="n">
        <v>52335.75</v>
      </c>
      <c r="E6" s="162">
        <f>IFERROR((SUM(D6-C6)/C6),0)</f>
        <v/>
      </c>
      <c r="F6" s="165" t="n">
        <v>206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32104.35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335</v>
      </c>
      <c r="O6" s="26" t="n"/>
    </row>
    <row r="7" ht="15.6" customHeight="1">
      <c r="A7" s="409" t="inlineStr">
        <is>
          <t>Melrose Arch</t>
        </is>
      </c>
      <c r="B7" s="200">
        <f>'11 May - 17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/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'11 May - 17 May 2020'!D8</f>
        <v/>
      </c>
      <c r="C8" s="73" t="n">
        <v>105221.78</v>
      </c>
      <c r="D8" s="145" t="n">
        <v>27845.47</v>
      </c>
      <c r="E8" s="163">
        <f>IFERROR((SUM(D8-C8)/C8),0)</f>
        <v/>
      </c>
      <c r="F8" s="166" t="n">
        <v>141</v>
      </c>
      <c r="G8" s="63">
        <f>IFERROR(D8/F8,0)</f>
        <v/>
      </c>
      <c r="H8" s="61" t="n">
        <v>0</v>
      </c>
      <c r="I8" s="28">
        <f>IFERROR(H8/F8,0)</f>
        <v/>
      </c>
      <c r="J8" s="247" t="n">
        <v>13552.47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121.6</v>
      </c>
      <c r="O8" s="26" t="n"/>
    </row>
    <row r="9" ht="15.6" customHeight="1">
      <c r="A9" s="409" t="inlineStr">
        <is>
          <t>Rosebank</t>
        </is>
      </c>
      <c r="B9" s="200">
        <f>'11 May - 17 May 2020'!D9</f>
        <v/>
      </c>
      <c r="C9" s="73" t="n">
        <v>287415.07</v>
      </c>
      <c r="D9" s="145" t="n">
        <v>23884.54</v>
      </c>
      <c r="E9" s="163">
        <f>IFERROR((SUM(D9-C9)/C9),0)</f>
        <v/>
      </c>
      <c r="F9" s="166" t="n">
        <v>102</v>
      </c>
      <c r="G9" s="63">
        <f>IFERROR(D9/F9,0)</f>
        <v/>
      </c>
      <c r="H9" s="61" t="n">
        <v>0</v>
      </c>
      <c r="I9" s="28">
        <f>IFERROR(H9/F9,0)</f>
        <v/>
      </c>
      <c r="J9" s="247" t="n">
        <v>14664.62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332</v>
      </c>
      <c r="O9" s="26" t="n"/>
    </row>
    <row r="10" ht="15.6" customHeight="1">
      <c r="A10" s="409" t="inlineStr">
        <is>
          <t xml:space="preserve">Waterkloof </t>
        </is>
      </c>
      <c r="B10" s="200">
        <f>'11 May - 17 May 2020'!D10</f>
        <v/>
      </c>
      <c r="C10" s="73" t="n">
        <v>144417.04</v>
      </c>
      <c r="D10" s="145" t="n">
        <v>59348.93</v>
      </c>
      <c r="E10" s="163">
        <f>IFERROR((SUM(D10-C10)/C10),0)</f>
        <v/>
      </c>
      <c r="F10" s="166" t="n">
        <v>267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24759.51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2612</v>
      </c>
      <c r="O10" s="26" t="n"/>
    </row>
    <row r="11" ht="15.6" customHeight="1">
      <c r="A11" s="409" t="inlineStr">
        <is>
          <t>Eagles Landing</t>
        </is>
      </c>
      <c r="B11" s="200">
        <f>'11 May - 17 May 2020'!D11</f>
        <v/>
      </c>
      <c r="C11" s="73" t="n">
        <v>330106.03</v>
      </c>
      <c r="D11" s="145" t="n">
        <v>84377.53</v>
      </c>
      <c r="E11" s="163">
        <f>IFERROR((SUM(D11-C11)/C11),0)</f>
        <v/>
      </c>
      <c r="F11" s="166" t="n">
        <v>326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27690.12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2388.5</v>
      </c>
      <c r="O11" s="26" t="n"/>
    </row>
    <row r="12" ht="15.6" customHeight="1">
      <c r="A12" s="198" t="inlineStr">
        <is>
          <t>Stellenbosch</t>
        </is>
      </c>
      <c r="B12" s="200">
        <f>'11 May - 17 May 2020'!D12</f>
        <v/>
      </c>
      <c r="C12" s="73" t="n">
        <v>129133.4</v>
      </c>
      <c r="D12" s="145" t="n">
        <v>28728.92</v>
      </c>
      <c r="E12" s="163">
        <f>IFERROR((SUM(D12-C12)/C12),0)</f>
        <v/>
      </c>
      <c r="F12" s="166" t="n">
        <v>115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4085.04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132.5</v>
      </c>
      <c r="O12" s="26" t="n"/>
    </row>
    <row r="13" ht="15.6" customHeight="1">
      <c r="A13" s="198" t="inlineStr">
        <is>
          <t>Lynnwood</t>
        </is>
      </c>
      <c r="B13" s="200">
        <f>'11 May - 17 May 2020'!D13</f>
        <v/>
      </c>
      <c r="C13" s="73" t="n">
        <v>222565.67</v>
      </c>
      <c r="D13" s="145" t="n">
        <v>75291.31</v>
      </c>
      <c r="E13" s="163">
        <f>IFERROR((SUM(D13-C13)/C13),0)</f>
        <v/>
      </c>
      <c r="F13" s="166" t="n">
        <v>312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31606.64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891</v>
      </c>
      <c r="O13" s="26" t="n"/>
    </row>
    <row r="14" hidden="1" ht="15.6" customHeight="1">
      <c r="A14" s="198" t="inlineStr">
        <is>
          <t>Wellington</t>
        </is>
      </c>
      <c r="B14" s="200">
        <f>'11 May - 17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'11 May - 17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/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'11 May - 17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/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'11 May - 17 May 2020'!D17</f>
        <v/>
      </c>
      <c r="C17" s="73" t="n"/>
      <c r="D17" s="145" t="n">
        <v>0</v>
      </c>
      <c r="E17" s="163">
        <f>IFERROR((SUM(D17-C17)/C17),0)</f>
        <v/>
      </c>
      <c r="F17" s="166" t="n">
        <v>0</v>
      </c>
      <c r="G17" s="63">
        <f>IFERROR(D17/F17,0)</f>
        <v/>
      </c>
      <c r="H17" s="61" t="n">
        <v>0</v>
      </c>
      <c r="I17" s="28">
        <f>IFERROR(H17/F17,0)</f>
        <v/>
      </c>
      <c r="J17" s="247" t="n"/>
      <c r="K17" s="89">
        <f>SUM(J17/D17)</f>
        <v/>
      </c>
      <c r="L17" s="247">
        <f>SUM(D17-J17)</f>
        <v/>
      </c>
      <c r="M17" s="89">
        <f>SUM(L17/D17)</f>
        <v/>
      </c>
      <c r="N17" s="130" t="n">
        <v>0</v>
      </c>
      <c r="O17" s="9" t="n"/>
    </row>
    <row r="18" ht="15.6" customHeight="1">
      <c r="A18" s="198" t="inlineStr">
        <is>
          <t>Queenswood</t>
        </is>
      </c>
      <c r="B18" s="200">
        <f>'11 May - 17 May 2020'!D18</f>
        <v/>
      </c>
      <c r="C18" s="73" t="n">
        <v>173318.51</v>
      </c>
      <c r="D18" s="145" t="n">
        <v>56302.6</v>
      </c>
      <c r="E18" s="163">
        <f>IFERROR((SUM(D18-C18)/C18),0)</f>
        <v/>
      </c>
      <c r="F18" s="166" t="n">
        <v>252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24455.43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1751</v>
      </c>
      <c r="O18" s="9" t="n"/>
    </row>
    <row r="19" ht="16.2" customHeight="1" thickBot="1">
      <c r="A19" s="203" t="inlineStr">
        <is>
          <t>Centurion</t>
        </is>
      </c>
      <c r="B19" s="201">
        <f>'11 May - 17 May 2020'!D19</f>
        <v/>
      </c>
      <c r="C19" s="205" t="n"/>
      <c r="D19" s="206" t="n">
        <v>33777.31</v>
      </c>
      <c r="E19" s="207">
        <f>IFERROR((SUM(D19-C19)/C19),0)</f>
        <v/>
      </c>
      <c r="F19" s="167" t="n">
        <v>164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15343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1254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'18 May - 24 May 2020'!D6</f>
        <v/>
      </c>
      <c r="C6" s="123" t="n">
        <v>228906.34</v>
      </c>
      <c r="D6" s="197" t="n">
        <v>47618.63</v>
      </c>
      <c r="E6" s="162">
        <f>IFERROR((SUM(D6-C6)/C6),0)</f>
        <v/>
      </c>
      <c r="F6" s="165" t="n">
        <v>212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29256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2262</v>
      </c>
      <c r="O6" s="26" t="n"/>
    </row>
    <row r="7" ht="15.6" customHeight="1">
      <c r="A7" s="409" t="inlineStr">
        <is>
          <t>Melrose Arch</t>
        </is>
      </c>
      <c r="B7" s="200">
        <f>'18 May - 24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'18 May - 24 May 2020'!D8</f>
        <v/>
      </c>
      <c r="C8" s="73" t="n">
        <v>129833.28</v>
      </c>
      <c r="D8" s="145" t="n">
        <v>29007.92</v>
      </c>
      <c r="E8" s="163">
        <f>IFERROR((SUM(D8-C8)/C8),0)</f>
        <v/>
      </c>
      <c r="F8" s="166" t="n">
        <v>145</v>
      </c>
      <c r="G8" s="63">
        <f>IFERROR(D8/F8,0)</f>
        <v/>
      </c>
      <c r="H8" s="61" t="n">
        <v>0</v>
      </c>
      <c r="I8" s="28">
        <f>IFERROR(H8/F8,0)</f>
        <v/>
      </c>
      <c r="J8" s="247" t="n">
        <v>12561.12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433.6</v>
      </c>
      <c r="O8" s="26" t="n"/>
    </row>
    <row r="9" ht="15.6" customHeight="1">
      <c r="A9" s="409" t="inlineStr">
        <is>
          <t>Rosebank</t>
        </is>
      </c>
      <c r="B9" s="200">
        <f>'18 May - 24 May 2020'!D9</f>
        <v/>
      </c>
      <c r="C9" s="73" t="n">
        <v>300962.43</v>
      </c>
      <c r="D9" s="145" t="n">
        <v>37946.37</v>
      </c>
      <c r="E9" s="163">
        <f>IFERROR((SUM(D9-C9)/C9),0)</f>
        <v/>
      </c>
      <c r="F9" s="166" t="n">
        <v>172</v>
      </c>
      <c r="G9" s="63">
        <f>IFERROR(D9/F9,0)</f>
        <v/>
      </c>
      <c r="H9" s="61" t="n">
        <v>0</v>
      </c>
      <c r="I9" s="28">
        <f>IFERROR(H9/F9,0)</f>
        <v/>
      </c>
      <c r="J9" s="247" t="n">
        <v>24091.22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387</v>
      </c>
      <c r="O9" s="26" t="n"/>
    </row>
    <row r="10" ht="15.6" customHeight="1">
      <c r="A10" s="409" t="inlineStr">
        <is>
          <t xml:space="preserve">Waterkloof </t>
        </is>
      </c>
      <c r="B10" s="200">
        <f>'18 May - 24 May 2020'!D10</f>
        <v/>
      </c>
      <c r="C10" s="73" t="n">
        <v>163214.69</v>
      </c>
      <c r="D10" s="145" t="n">
        <v>62349.08</v>
      </c>
      <c r="E10" s="163">
        <f>IFERROR((SUM(D10-C10)/C10),0)</f>
        <v/>
      </c>
      <c r="F10" s="166" t="n">
        <v>272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26294.7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2991.2</v>
      </c>
      <c r="O10" s="26" t="n"/>
    </row>
    <row r="11" ht="15.6" customHeight="1">
      <c r="A11" s="409" t="inlineStr">
        <is>
          <t>Eagles Landing</t>
        </is>
      </c>
      <c r="B11" s="200">
        <f>'18 May - 24 May 2020'!D11</f>
        <v/>
      </c>
      <c r="C11" s="73" t="n">
        <v>346283.66</v>
      </c>
      <c r="D11" s="145" t="n">
        <v>70295.8</v>
      </c>
      <c r="E11" s="163">
        <f>IFERROR((SUM(D11-C11)/C11),0)</f>
        <v/>
      </c>
      <c r="F11" s="166" t="n">
        <v>281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19650.78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1047</v>
      </c>
      <c r="O11" s="26" t="n"/>
    </row>
    <row r="12" ht="15.6" customHeight="1">
      <c r="A12" s="198" t="inlineStr">
        <is>
          <t>Stellenbosch</t>
        </is>
      </c>
      <c r="B12" s="200">
        <f>'18 May - 24 May 2020'!D12</f>
        <v/>
      </c>
      <c r="C12" s="73" t="n">
        <v>146968.33</v>
      </c>
      <c r="D12" s="145" t="n">
        <v>26701.09</v>
      </c>
      <c r="E12" s="163">
        <f>IFERROR((SUM(D12-C12)/C12),0)</f>
        <v/>
      </c>
      <c r="F12" s="166" t="n">
        <v>117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3351.57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378</v>
      </c>
      <c r="O12" s="26" t="n"/>
    </row>
    <row r="13" ht="15.6" customHeight="1">
      <c r="A13" s="198" t="inlineStr">
        <is>
          <t>Lynnwood</t>
        </is>
      </c>
      <c r="B13" s="200">
        <f>'18 May - 24 May 2020'!D13</f>
        <v/>
      </c>
      <c r="C13" s="73" t="n">
        <v>236376.68</v>
      </c>
      <c r="D13" s="145" t="n">
        <v>70380.06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31400.23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851</v>
      </c>
      <c r="O13" s="26" t="n"/>
    </row>
    <row r="14" hidden="1" ht="15.6" customHeight="1">
      <c r="A14" s="198" t="inlineStr">
        <is>
          <t>Wellington</t>
        </is>
      </c>
      <c r="B14" s="200">
        <f>'18 May - 24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'18 May - 24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'18 May - 24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'18 May - 24 May 2020'!D17</f>
        <v/>
      </c>
      <c r="C17" s="73" t="n">
        <v>191675.07</v>
      </c>
      <c r="D17" s="145" t="n">
        <v>46544.63</v>
      </c>
      <c r="E17" s="163">
        <f>IFERROR((SUM(D17-C17)/C17),0)</f>
        <v/>
      </c>
      <c r="F17" s="166" t="n">
        <v>217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24353.17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543</v>
      </c>
      <c r="O17" s="9" t="n"/>
    </row>
    <row r="18" ht="15.6" customHeight="1">
      <c r="A18" s="198" t="inlineStr">
        <is>
          <t>Queenswood</t>
        </is>
      </c>
      <c r="B18" s="200">
        <f>'18 May - 24 May 2020'!D18</f>
        <v/>
      </c>
      <c r="C18" s="73" t="n">
        <v>173995.83</v>
      </c>
      <c r="D18" s="145" t="n">
        <v>65277.12</v>
      </c>
      <c r="E18" s="163">
        <f>IFERROR((SUM(D18-C18)/C18),0)</f>
        <v/>
      </c>
      <c r="F18" s="166" t="n">
        <v>288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31510.6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454</v>
      </c>
      <c r="O18" s="9" t="n"/>
    </row>
    <row r="19" ht="16.2" customHeight="1" thickBot="1">
      <c r="A19" s="203" t="inlineStr">
        <is>
          <t>Centurion</t>
        </is>
      </c>
      <c r="B19" s="201">
        <f>'18 May - 24 May 2020'!D19</f>
        <v/>
      </c>
      <c r="C19" s="205" t="n"/>
      <c r="D19" s="206" t="n">
        <v>33073.74</v>
      </c>
      <c r="E19" s="207">
        <f>IFERROR((SUM(D19-C19)/C19),0)</f>
        <v/>
      </c>
      <c r="F19" s="167" t="n">
        <v>173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15106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1013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'25 May - 31 May 2020'!D6</f>
        <v/>
      </c>
      <c r="C6" s="123" t="n">
        <v>245133.38</v>
      </c>
      <c r="D6" s="197" t="n">
        <v>65734.07000000001</v>
      </c>
      <c r="E6" s="162">
        <f>IFERROR((SUM(D6-C6)/C6),0)</f>
        <v/>
      </c>
      <c r="F6" s="165" t="n">
        <v>276</v>
      </c>
      <c r="G6" s="124">
        <f>IFERROR(D6/F6,0)</f>
        <v/>
      </c>
      <c r="H6" s="125" t="n">
        <v>0</v>
      </c>
      <c r="I6" s="126">
        <f>IFERROR(H6/F6,0)</f>
        <v/>
      </c>
      <c r="J6" s="246" t="n">
        <v>35105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1801</v>
      </c>
      <c r="O6" s="26" t="n"/>
    </row>
    <row r="7" ht="15.6" customHeight="1">
      <c r="A7" s="409" t="inlineStr">
        <is>
          <t>Melrose Arch</t>
        </is>
      </c>
      <c r="B7" s="200">
        <f>'25 May - 31 May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'25 May - 31 May 2020'!D8</f>
        <v/>
      </c>
      <c r="C8" s="73" t="n">
        <v>109274.66</v>
      </c>
      <c r="D8" s="145" t="n">
        <v>34958.22</v>
      </c>
      <c r="E8" s="163">
        <f>IFERROR((SUM(D8-C8)/C8),0)</f>
        <v/>
      </c>
      <c r="F8" s="166" t="n">
        <v>161</v>
      </c>
      <c r="G8" s="63">
        <f>IFERROR(D8/F8,0)</f>
        <v/>
      </c>
      <c r="H8" s="61" t="n">
        <v>0</v>
      </c>
      <c r="I8" s="28">
        <f>IFERROR(H8/F8,0)</f>
        <v/>
      </c>
      <c r="J8" s="247" t="n">
        <v>14785.19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261</v>
      </c>
      <c r="O8" s="26" t="n"/>
    </row>
    <row r="9" ht="15.6" customHeight="1">
      <c r="A9" s="409" t="inlineStr">
        <is>
          <t>Rosebank</t>
        </is>
      </c>
      <c r="B9" s="200">
        <f>'25 May - 31 May 2020'!D9</f>
        <v/>
      </c>
      <c r="C9" s="73" t="n">
        <v>308917.94</v>
      </c>
      <c r="D9" s="145" t="n">
        <v>44040.15</v>
      </c>
      <c r="E9" s="163">
        <f>IFERROR((SUM(D9-C9)/C9),0)</f>
        <v/>
      </c>
      <c r="F9" s="166" t="n">
        <v>199</v>
      </c>
      <c r="G9" s="63">
        <f>IFERROR(D9/F9,0)</f>
        <v/>
      </c>
      <c r="H9" s="61" t="n">
        <v>0</v>
      </c>
      <c r="I9" s="28">
        <f>IFERROR(H9/F9,0)</f>
        <v/>
      </c>
      <c r="J9" s="247" t="n">
        <v>27268.82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947</v>
      </c>
      <c r="O9" s="26" t="n"/>
    </row>
    <row r="10" ht="15.6" customHeight="1">
      <c r="A10" s="409" t="inlineStr">
        <is>
          <t xml:space="preserve">Waterkloof </t>
        </is>
      </c>
      <c r="B10" s="200">
        <f>'25 May - 31 May 2020'!D10</f>
        <v/>
      </c>
      <c r="C10" s="73" t="n">
        <v>137777</v>
      </c>
      <c r="D10" s="145" t="n">
        <v>56514.59</v>
      </c>
      <c r="E10" s="163">
        <f>IFERROR((SUM(D10-C10)/C10),0)</f>
        <v/>
      </c>
      <c r="F10" s="166" t="n">
        <v>258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26483.83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2825</v>
      </c>
      <c r="O10" s="26" t="n"/>
    </row>
    <row r="11" ht="15.6" customHeight="1">
      <c r="A11" s="409" t="inlineStr">
        <is>
          <t>Eagles Landing</t>
        </is>
      </c>
      <c r="B11" s="200">
        <f>'25 May - 31 May 2020'!D11</f>
        <v/>
      </c>
      <c r="C11" s="73" t="n">
        <v>317888.62</v>
      </c>
      <c r="D11" s="145" t="n">
        <v>83837.66</v>
      </c>
      <c r="E11" s="163">
        <f>IFERROR((SUM(D11-C11)/C11),0)</f>
        <v/>
      </c>
      <c r="F11" s="166" t="n">
        <v>344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21759.23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1198.5</v>
      </c>
      <c r="O11" s="26" t="n"/>
    </row>
    <row r="12" ht="15.6" customHeight="1">
      <c r="A12" s="198" t="inlineStr">
        <is>
          <t>Stellenbosch</t>
        </is>
      </c>
      <c r="B12" s="200">
        <f>'25 May - 31 May 2020'!D12</f>
        <v/>
      </c>
      <c r="C12" s="73" t="n">
        <v>132072.19</v>
      </c>
      <c r="D12" s="145" t="n">
        <v>26524.1</v>
      </c>
      <c r="E12" s="163">
        <f>IFERROR((SUM(D12-C12)/C12),0)</f>
        <v/>
      </c>
      <c r="F12" s="166" t="n">
        <v>121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3102.04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142.5</v>
      </c>
      <c r="O12" s="26" t="n"/>
    </row>
    <row r="13" ht="15.6" customHeight="1">
      <c r="A13" s="198" t="inlineStr">
        <is>
          <t>Lynnwood</t>
        </is>
      </c>
      <c r="B13" s="200">
        <f>'25 May - 31 May 2020'!D13</f>
        <v/>
      </c>
      <c r="C13" s="73" t="n">
        <v>205934.81</v>
      </c>
      <c r="D13" s="145" t="n">
        <v>82779.45</v>
      </c>
      <c r="E13" s="163">
        <f>IFERROR((SUM(D13-C13)/C13),0)</f>
        <v/>
      </c>
      <c r="F13" s="166" t="n">
        <v>364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30096.96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935</v>
      </c>
      <c r="O13" s="26" t="n"/>
    </row>
    <row r="14" hidden="1" ht="15.6" customHeight="1">
      <c r="A14" s="198" t="inlineStr">
        <is>
          <t>Wellington</t>
        </is>
      </c>
      <c r="B14" s="200">
        <f>'25 May - 31 May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'25 May - 31 May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'25 May - 31 May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'25 May - 31 May 2020'!D17</f>
        <v/>
      </c>
      <c r="C17" s="73" t="n">
        <v>192169.17</v>
      </c>
      <c r="D17" s="145" t="n">
        <v>59929.96</v>
      </c>
      <c r="E17" s="163">
        <f>IFERROR((SUM(D17-C17)/C17),0)</f>
        <v/>
      </c>
      <c r="F17" s="166" t="n">
        <v>273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30536.25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969.05</v>
      </c>
      <c r="O17" s="9" t="n"/>
    </row>
    <row r="18" ht="15.6" customHeight="1">
      <c r="A18" s="198" t="inlineStr">
        <is>
          <t>Queenswood</t>
        </is>
      </c>
      <c r="B18" s="200">
        <f>'25 May - 31 May 2020'!D18</f>
        <v/>
      </c>
      <c r="C18" s="73" t="n">
        <v>152760.03</v>
      </c>
      <c r="D18" s="145" t="n">
        <v>53835.4</v>
      </c>
      <c r="E18" s="163">
        <f>IFERROR((SUM(D18-C18)/C18),0)</f>
        <v/>
      </c>
      <c r="F18" s="166" t="n">
        <v>228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22806.19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578</v>
      </c>
      <c r="O18" s="9" t="n"/>
    </row>
    <row r="19" ht="16.2" customHeight="1" thickBot="1">
      <c r="A19" s="203" t="inlineStr">
        <is>
          <t>Centurion</t>
        </is>
      </c>
      <c r="B19" s="201">
        <f>'25 May - 31 May 2020'!D19</f>
        <v/>
      </c>
      <c r="C19" s="205" t="n">
        <v>0</v>
      </c>
      <c r="D19" s="206" t="n">
        <v>34332.6</v>
      </c>
      <c r="E19" s="207">
        <f>IFERROR((SUM(D19-C19)/C19),0)</f>
        <v/>
      </c>
      <c r="F19" s="167" t="n">
        <v>162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15784.9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2690.1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 June - 7 June 2020'!D6</f>
        <v/>
      </c>
      <c r="C6" s="123" t="n">
        <v>236155.67</v>
      </c>
      <c r="D6" s="197" t="n">
        <v>54499.07</v>
      </c>
      <c r="E6" s="162">
        <f>IFERROR((SUM(D6-C6)/C6),0)</f>
        <v/>
      </c>
      <c r="F6" s="165" t="n">
        <v>223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24083.5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609</v>
      </c>
      <c r="O6" s="26" t="n"/>
    </row>
    <row r="7" ht="15.6" customHeight="1">
      <c r="A7" s="409" t="inlineStr">
        <is>
          <t>Melrose Arch</t>
        </is>
      </c>
      <c r="B7" s="200">
        <f>'1 June - 7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 June - 7 June 2020'!D8</f>
        <v/>
      </c>
      <c r="C8" s="73" t="n">
        <v>110836.84</v>
      </c>
      <c r="D8" s="145" t="n">
        <v>41408.87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21278.04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249</v>
      </c>
      <c r="O8" s="26" t="n"/>
    </row>
    <row r="9" ht="15.6" customHeight="1">
      <c r="A9" s="409" t="inlineStr">
        <is>
          <t>Rosebank</t>
        </is>
      </c>
      <c r="B9" s="200">
        <f>'1 June - 7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 June - 7 June 2020'!D10</f>
        <v/>
      </c>
      <c r="C10" s="73" t="n">
        <v>143400.2</v>
      </c>
      <c r="D10" s="145" t="n">
        <v>71904.74000000001</v>
      </c>
      <c r="E10" s="163">
        <f>IFERROR((SUM(D10-C10)/C10),0)</f>
        <v/>
      </c>
      <c r="F10" s="166" t="n">
        <v>309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26835.78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2707</v>
      </c>
      <c r="O10" s="26" t="n"/>
    </row>
    <row r="11" ht="15.6" customHeight="1">
      <c r="A11" s="409" t="inlineStr">
        <is>
          <t>Eagles Landing</t>
        </is>
      </c>
      <c r="B11" s="200">
        <f>'1 June - 7 June 2020'!D11</f>
        <v/>
      </c>
      <c r="C11" s="73" t="n">
        <v>345738.87</v>
      </c>
      <c r="D11" s="145" t="n">
        <v>76161.41</v>
      </c>
      <c r="E11" s="163">
        <f>IFERROR((SUM(D11-C11)/C11),0)</f>
        <v/>
      </c>
      <c r="F11" s="166" t="n">
        <v>328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19167.23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2136</v>
      </c>
      <c r="O11" s="26" t="n"/>
    </row>
    <row r="12" ht="15.6" customHeight="1">
      <c r="A12" s="198" t="inlineStr">
        <is>
          <t>Stellenbosch</t>
        </is>
      </c>
      <c r="B12" s="200">
        <f>'1 June - 7 June 2020'!D12</f>
        <v/>
      </c>
      <c r="C12" s="73" t="n">
        <v>139419.05</v>
      </c>
      <c r="D12" s="145" t="n">
        <v>3660.53</v>
      </c>
      <c r="E12" s="163">
        <f>IFERROR((SUM(D12-C12)/C12),0)</f>
        <v/>
      </c>
      <c r="F12" s="166" t="n"/>
      <c r="G12" s="63">
        <f>IFERROR(D12/F12,0)</f>
        <v/>
      </c>
      <c r="H12" s="61" t="n">
        <v>0</v>
      </c>
      <c r="I12" s="28">
        <f>IFERROR(H12/F12,0)</f>
        <v/>
      </c>
      <c r="J12" s="247" t="n">
        <v>782.26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455</v>
      </c>
      <c r="O12" s="26" t="n"/>
    </row>
    <row r="13" ht="15.6" customHeight="1">
      <c r="A13" s="198" t="inlineStr">
        <is>
          <t>Lynnwood</t>
        </is>
      </c>
      <c r="B13" s="200">
        <f>'1 June - 7 June 2020'!D13</f>
        <v/>
      </c>
      <c r="C13" s="73" t="n">
        <v>208358.17</v>
      </c>
      <c r="D13" s="145" t="n">
        <v>63627.84</v>
      </c>
      <c r="E13" s="163">
        <f>IFERROR((SUM(D13-C13)/C13),0)</f>
        <v/>
      </c>
      <c r="F13" s="166" t="n">
        <v>285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28109.77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636</v>
      </c>
      <c r="O13" s="26" t="n"/>
    </row>
    <row r="14" hidden="1" ht="15.6" customHeight="1">
      <c r="A14" s="198" t="inlineStr">
        <is>
          <t>Wellington</t>
        </is>
      </c>
      <c r="B14" s="200">
        <f>'1 June - 7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 June - 7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 June - 7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0</v>
      </c>
      <c r="O16" s="9" t="n"/>
      <c r="R16" s="238" t="n"/>
    </row>
    <row r="17" ht="15.6" customHeight="1">
      <c r="A17" s="198" t="inlineStr">
        <is>
          <t>Paulshof</t>
        </is>
      </c>
      <c r="B17" s="200">
        <f>'1 June - 7 June 2020'!D17</f>
        <v/>
      </c>
      <c r="C17" s="73" t="n">
        <v>183813.79</v>
      </c>
      <c r="D17" s="145" t="n">
        <v>44564.7</v>
      </c>
      <c r="E17" s="163">
        <f>IFERROR((SUM(D17-C17)/C17),0)</f>
        <v/>
      </c>
      <c r="F17" s="166" t="n">
        <v>208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23195.88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362</v>
      </c>
      <c r="O17" s="9" t="n"/>
    </row>
    <row r="18" ht="15.6" customHeight="1">
      <c r="A18" s="198" t="inlineStr">
        <is>
          <t>Queenswood</t>
        </is>
      </c>
      <c r="B18" s="200">
        <f>'1 June - 7 June 2020'!D18</f>
        <v/>
      </c>
      <c r="C18" s="73" t="n">
        <v>169068.42</v>
      </c>
      <c r="D18" s="145" t="n">
        <v>43845.19</v>
      </c>
      <c r="E18" s="163">
        <f>IFERROR((SUM(D18-C18)/C18),0)</f>
        <v/>
      </c>
      <c r="F18" s="166" t="n">
        <v>215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19009.22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1179</v>
      </c>
      <c r="O18" s="9" t="n"/>
    </row>
    <row r="19" ht="16.2" customHeight="1" thickBot="1">
      <c r="A19" s="203" t="inlineStr">
        <is>
          <t>Centurion</t>
        </is>
      </c>
      <c r="B19" s="201">
        <f>'1 June - 7 June 2020'!D19</f>
        <v/>
      </c>
      <c r="C19" s="205" t="n">
        <v>0</v>
      </c>
      <c r="D19" s="206" t="n">
        <v>32477.56</v>
      </c>
      <c r="E19" s="207">
        <f>IFERROR((SUM(D19-C19)/C19),0)</f>
        <v/>
      </c>
      <c r="F19" s="167" t="n">
        <v>160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16870.25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2263.6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'8 June - 14 June 2020'!D6</f>
        <v/>
      </c>
      <c r="C6" s="123" t="n">
        <v>250573.07</v>
      </c>
      <c r="D6" s="197" t="n">
        <v>56336.17</v>
      </c>
      <c r="E6" s="162">
        <f>IFERROR((SUM(D6-C6)/C6),0)</f>
        <v/>
      </c>
      <c r="F6" s="165" t="n">
        <v>224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29437.97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340</v>
      </c>
      <c r="O6" s="26" t="n"/>
    </row>
    <row r="7" ht="15.6" customHeight="1">
      <c r="A7" s="409" t="inlineStr">
        <is>
          <t>Melrose Arch</t>
        </is>
      </c>
      <c r="B7" s="200">
        <f>'8 June - 14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/>
      <c r="O7" s="26" t="n"/>
    </row>
    <row r="8" ht="15.6" customHeight="1">
      <c r="A8" s="409" t="inlineStr">
        <is>
          <t>Melville</t>
        </is>
      </c>
      <c r="B8" s="200">
        <f>'8 June - 14 June 2020'!D8</f>
        <v/>
      </c>
      <c r="C8" s="73" t="n">
        <v>99413.99000000001</v>
      </c>
      <c r="D8" s="145" t="n">
        <v>43799.66</v>
      </c>
      <c r="E8" s="163">
        <f>IFERROR((SUM(D8-C8)/C8),0)</f>
        <v/>
      </c>
      <c r="F8" s="166" t="n">
        <v>176</v>
      </c>
      <c r="G8" s="63">
        <f>IFERROR(D8/F8,0)</f>
        <v/>
      </c>
      <c r="H8" s="61" t="n">
        <v>0</v>
      </c>
      <c r="I8" s="28">
        <f>IFERROR(H8/F8,0)</f>
        <v/>
      </c>
      <c r="J8" s="247" t="n">
        <v>18802.74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709.5</v>
      </c>
      <c r="O8" s="26" t="n"/>
    </row>
    <row r="9" ht="15.6" customHeight="1">
      <c r="A9" s="409" t="inlineStr">
        <is>
          <t>Rosebank</t>
        </is>
      </c>
      <c r="B9" s="200">
        <f>'8 June - 14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/>
      <c r="O9" s="26" t="n"/>
    </row>
    <row r="10" ht="15.6" customHeight="1">
      <c r="A10" s="409" t="inlineStr">
        <is>
          <t xml:space="preserve">Waterkloof </t>
        </is>
      </c>
      <c r="B10" s="200">
        <f>'8 June - 14 June 2020'!D10</f>
        <v/>
      </c>
      <c r="C10" s="73" t="n">
        <v>148386.36</v>
      </c>
      <c r="D10" s="145" t="n">
        <v>92601.50999999999</v>
      </c>
      <c r="E10" s="163">
        <f>IFERROR((SUM(D10-C10)/C10),0)</f>
        <v/>
      </c>
      <c r="F10" s="166" t="n">
        <v>397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35243.47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3209</v>
      </c>
      <c r="O10" s="26" t="n"/>
    </row>
    <row r="11" ht="15.6" customHeight="1">
      <c r="A11" s="409" t="inlineStr">
        <is>
          <t>Eagles Landing</t>
        </is>
      </c>
      <c r="B11" s="200">
        <f>'8 June - 14 June 2020'!D11</f>
        <v/>
      </c>
      <c r="C11" s="73" t="n">
        <v>350406.82</v>
      </c>
      <c r="D11" s="145" t="n">
        <v>91590.78</v>
      </c>
      <c r="E11" s="163">
        <f>IFERROR((SUM(D11-C11)/C11),0)</f>
        <v/>
      </c>
      <c r="F11" s="166" t="n">
        <v>379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21414.51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897</v>
      </c>
      <c r="O11" s="26" t="n"/>
    </row>
    <row r="12" ht="15.6" customHeight="1">
      <c r="A12" s="198" t="inlineStr">
        <is>
          <t>Stellenbosch</t>
        </is>
      </c>
      <c r="B12" s="200">
        <f>'8 June - 14 June 2020'!D12</f>
        <v/>
      </c>
      <c r="C12" s="73" t="n">
        <v>137174.82</v>
      </c>
      <c r="D12" s="145" t="n">
        <v>19728.52</v>
      </c>
      <c r="E12" s="163">
        <f>IFERROR((SUM(D12-C12)/C12),0)</f>
        <v/>
      </c>
      <c r="F12" s="166" t="n">
        <v>101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2416.87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975.5</v>
      </c>
      <c r="O12" s="26" t="n"/>
    </row>
    <row r="13" ht="15.6" customHeight="1">
      <c r="A13" s="198" t="inlineStr">
        <is>
          <t>Lynnwood</t>
        </is>
      </c>
      <c r="B13" s="200">
        <f>'8 June - 14 June 2020'!D13</f>
        <v/>
      </c>
      <c r="C13" s="73" t="n">
        <v>203275.18</v>
      </c>
      <c r="D13" s="145" t="n">
        <v>70875.87</v>
      </c>
      <c r="E13" s="163">
        <f>IFERROR((SUM(D13-C13)/C13),0)</f>
        <v/>
      </c>
      <c r="F13" s="166" t="n">
        <v>305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25540.26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1170</v>
      </c>
      <c r="O13" s="26" t="n"/>
    </row>
    <row r="14" hidden="1" ht="15.6" customHeight="1">
      <c r="A14" s="198" t="inlineStr">
        <is>
          <t>Wellington</t>
        </is>
      </c>
      <c r="B14" s="200">
        <f>'8 June - 14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'8 June - 14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/>
      <c r="O15" s="9" t="n"/>
    </row>
    <row r="16" ht="15.6" customHeight="1">
      <c r="A16" s="198" t="inlineStr">
        <is>
          <t>Kyalami Corner</t>
        </is>
      </c>
      <c r="B16" s="200">
        <f>'8 June - 14 June 2020'!D16</f>
        <v/>
      </c>
      <c r="C16" s="73" t="n"/>
      <c r="D16" s="145" t="n">
        <v>0</v>
      </c>
      <c r="E16" s="163">
        <f>IFERROR((SUM(D16-C16)/C16),0)</f>
        <v/>
      </c>
      <c r="F16" s="166" t="n">
        <v>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0</v>
      </c>
      <c r="K16" s="89">
        <f>SUM(J16/D16)</f>
        <v/>
      </c>
      <c r="L16" s="247">
        <f>SUM(D16-J16)</f>
        <v/>
      </c>
      <c r="M16" s="89">
        <f>SUM(L16/D16)</f>
        <v/>
      </c>
      <c r="N16" s="130" t="n"/>
      <c r="O16" s="9" t="n"/>
      <c r="R16" s="238" t="n"/>
    </row>
    <row r="17" ht="15.6" customHeight="1">
      <c r="A17" s="198" t="inlineStr">
        <is>
          <t>Paulshof</t>
        </is>
      </c>
      <c r="B17" s="200">
        <f>'8 June - 14 June 2020'!D17</f>
        <v/>
      </c>
      <c r="C17" s="73" t="n">
        <v>193070.24</v>
      </c>
      <c r="D17" s="145" t="n">
        <v>56047.11</v>
      </c>
      <c r="E17" s="163">
        <f>IFERROR((SUM(D17-C17)/C17),0)</f>
        <v/>
      </c>
      <c r="F17" s="166" t="n">
        <v>262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25752.48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982.74</v>
      </c>
      <c r="O17" s="9" t="n"/>
    </row>
    <row r="18" ht="15.6" customHeight="1">
      <c r="A18" s="198" t="inlineStr">
        <is>
          <t>Queenswood</t>
        </is>
      </c>
      <c r="B18" s="200">
        <f>'8 June - 14 June 2020'!D18</f>
        <v/>
      </c>
      <c r="C18" s="73" t="n">
        <v>145702.12</v>
      </c>
      <c r="D18" s="145" t="n">
        <v>40339.19</v>
      </c>
      <c r="E18" s="163">
        <f>IFERROR((SUM(D18-C18)/C18),0)</f>
        <v/>
      </c>
      <c r="F18" s="166" t="n">
        <v>194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19584.91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982</v>
      </c>
      <c r="O18" s="9" t="n"/>
    </row>
    <row r="19" ht="16.2" customHeight="1" thickBot="1">
      <c r="A19" s="203" t="inlineStr">
        <is>
          <t>Centurion</t>
        </is>
      </c>
      <c r="B19" s="201">
        <f>'8 June - 14 June 2020'!D19</f>
        <v/>
      </c>
      <c r="C19" s="205" t="n">
        <v>0</v>
      </c>
      <c r="D19" s="206" t="n">
        <v>37827.84</v>
      </c>
      <c r="E19" s="207">
        <f>IFERROR((SUM(D19-C19)/C19),0)</f>
        <v/>
      </c>
      <c r="F19" s="167" t="n">
        <v>179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17132.73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1391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1.44140625" bestFit="1" customWidth="1" min="6" max="6"/>
    <col width="13.44140625" bestFit="1" customWidth="1" min="7" max="7"/>
    <col width="14.5546875" customWidth="1" min="10" max="10"/>
    <col width="11.6640625" bestFit="1" customWidth="1" min="11" max="11"/>
    <col width="13.6640625" customWidth="1" min="12" max="12"/>
    <col width="11.6640625" customWidth="1" min="13" max="13"/>
    <col width="12.6640625" bestFit="1" customWidth="1" min="14" max="14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7" t="n"/>
      <c r="I1" s="7" t="n"/>
      <c r="J1" s="7" t="inlineStr">
        <is>
          <t>.</t>
        </is>
      </c>
      <c r="K1" s="7" t="n"/>
      <c r="L1" s="7" t="n"/>
      <c r="M1" s="7" t="n"/>
      <c r="N1" s="81" t="n"/>
      <c r="O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34" t="n"/>
      <c r="G2" s="1" t="n"/>
      <c r="H2" s="1" t="n"/>
      <c r="I2" s="1" t="n"/>
      <c r="J2" s="1" t="n"/>
      <c r="K2" s="1" t="n"/>
      <c r="L2" s="1" t="n"/>
      <c r="M2" s="1" t="n"/>
      <c r="N2" s="81" t="n"/>
      <c r="O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36" t="inlineStr">
        <is>
          <t>Invoices</t>
        </is>
      </c>
      <c r="G3" s="250" t="inlineStr">
        <is>
          <t>Avg Spend</t>
        </is>
      </c>
      <c r="H3" s="113" t="inlineStr">
        <is>
          <t>PROMO Weekly</t>
        </is>
      </c>
      <c r="I3" s="113" t="inlineStr">
        <is>
          <t>% To Covers</t>
        </is>
      </c>
      <c r="J3" s="113" t="inlineStr">
        <is>
          <t>Uber / Mr D Deliveries</t>
        </is>
      </c>
      <c r="K3" s="113" t="inlineStr">
        <is>
          <t>% To Date</t>
        </is>
      </c>
      <c r="L3" s="177" t="inlineStr">
        <is>
          <t>In-Store Deliveries / T-Away</t>
        </is>
      </c>
      <c r="M3" s="177" t="inlineStr">
        <is>
          <t>Deliveries % of TO</t>
        </is>
      </c>
      <c r="N3" s="402" t="inlineStr">
        <is>
          <t>Discounts</t>
        </is>
      </c>
      <c r="O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147">
        <f>SUM(F6:F19)</f>
        <v/>
      </c>
      <c r="G4" s="218">
        <f>AVERAGE(G5:G19)</f>
        <v/>
      </c>
      <c r="H4" s="219">
        <f>SUM(H6:H19)</f>
        <v/>
      </c>
      <c r="I4" s="220">
        <f>IFERROR(H4/F4,0)</f>
        <v/>
      </c>
      <c r="J4" s="249">
        <f>SUM(J6:J19)</f>
        <v/>
      </c>
      <c r="K4" s="222">
        <f>SUM(J4/D4)</f>
        <v/>
      </c>
      <c r="L4" s="244">
        <f>SUM(L6:L19)</f>
        <v/>
      </c>
      <c r="M4" s="222">
        <f>SUM(L4/D4)</f>
        <v/>
      </c>
      <c r="N4" s="141">
        <f>SUM(N6:N19)</f>
        <v/>
      </c>
      <c r="O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48" t="n"/>
      <c r="G5" s="119" t="n"/>
      <c r="H5" s="118" t="n"/>
      <c r="I5" s="120">
        <f>IFERROR(H5/F5,0)</f>
        <v/>
      </c>
      <c r="J5" s="245">
        <f>H5+'Nov 19 - Nov 25'!I5+'Nov 26 - Dec 2'!I5+'Dec 3 - Dec 9'!I5+'Dec 10 - Dec 16'!I5+'Dec 17 - Dec 23'!I5+'Dec 24 - Dec 30'!I5</f>
        <v/>
      </c>
      <c r="K5" s="122">
        <f>IFERROR(J5/SUM(F5),0)</f>
        <v/>
      </c>
      <c r="L5" s="245" t="n"/>
      <c r="M5" s="122" t="n"/>
      <c r="N5" s="71" t="n"/>
      <c r="O5" s="25" t="n"/>
    </row>
    <row r="6" ht="16.5" customHeight="1">
      <c r="A6" s="408" t="inlineStr">
        <is>
          <t>Irene Village</t>
        </is>
      </c>
      <c r="B6" s="200">
        <f>'15 June - 21 June 2020'!D6</f>
        <v/>
      </c>
      <c r="C6" s="123" t="n">
        <v>271223.01</v>
      </c>
      <c r="D6" s="197" t="n">
        <v>52216.16</v>
      </c>
      <c r="E6" s="162">
        <f>IFERROR((SUM(D6-C6)/C6),0)</f>
        <v/>
      </c>
      <c r="F6" s="165" t="n">
        <v>250</v>
      </c>
      <c r="G6" s="124">
        <f>IFERROR(D6/F6,0)</f>
        <v/>
      </c>
      <c r="H6" s="125" t="n">
        <v>0</v>
      </c>
      <c r="I6" s="126">
        <f>IFERROR(H6/F6,0)</f>
        <v/>
      </c>
      <c r="J6" s="246" t="n">
        <v>21355.32</v>
      </c>
      <c r="K6" s="128">
        <f>SUM(J6/D6)</f>
        <v/>
      </c>
      <c r="L6" s="247">
        <f>SUM(D6-J6)</f>
        <v/>
      </c>
      <c r="M6" s="128">
        <f>SUM(L6/D6)</f>
        <v/>
      </c>
      <c r="N6" s="129" t="n">
        <v>1957</v>
      </c>
      <c r="O6" s="26" t="n"/>
    </row>
    <row r="7" ht="15.6" customHeight="1">
      <c r="A7" s="409" t="inlineStr">
        <is>
          <t>Melrose Arch</t>
        </is>
      </c>
      <c r="B7" s="200">
        <f>'15 June - 21 June 2020'!D7</f>
        <v/>
      </c>
      <c r="C7" s="73" t="n"/>
      <c r="D7" s="145" t="n">
        <v>0</v>
      </c>
      <c r="E7" s="163">
        <f>IFERROR((SUM(D7-C7)/C7),0)</f>
        <v/>
      </c>
      <c r="F7" s="166" t="n">
        <v>0</v>
      </c>
      <c r="G7" s="63">
        <f>IFERROR(D7/F7,0)</f>
        <v/>
      </c>
      <c r="H7" s="61" t="n">
        <v>0</v>
      </c>
      <c r="I7" s="28">
        <f>IFERROR(H7/F7,0)</f>
        <v/>
      </c>
      <c r="J7" s="247" t="n">
        <v>0</v>
      </c>
      <c r="K7" s="89">
        <f>SUM(J7/D7)</f>
        <v/>
      </c>
      <c r="L7" s="247">
        <f>SUM(D7-J7)</f>
        <v/>
      </c>
      <c r="M7" s="89">
        <f>SUM(L7/D7)</f>
        <v/>
      </c>
      <c r="N7" s="130" t="n">
        <v>0</v>
      </c>
      <c r="O7" s="26" t="n"/>
    </row>
    <row r="8" ht="15.6" customHeight="1">
      <c r="A8" s="409" t="inlineStr">
        <is>
          <t>Melville</t>
        </is>
      </c>
      <c r="B8" s="200">
        <f>'15 June - 21 June 2020'!D8</f>
        <v/>
      </c>
      <c r="C8" s="73" t="n">
        <v>110389.7</v>
      </c>
      <c r="D8" s="145" t="n">
        <v>40317.99</v>
      </c>
      <c r="E8" s="163">
        <f>IFERROR((SUM(D8-C8)/C8),0)</f>
        <v/>
      </c>
      <c r="F8" s="166" t="n">
        <v>191</v>
      </c>
      <c r="G8" s="63">
        <f>IFERROR(D8/F8,0)</f>
        <v/>
      </c>
      <c r="H8" s="61" t="n">
        <v>0</v>
      </c>
      <c r="I8" s="28">
        <f>IFERROR(H8/F8,0)</f>
        <v/>
      </c>
      <c r="J8" s="247" t="n">
        <v>1647.32</v>
      </c>
      <c r="K8" s="89">
        <f>SUM(J8/D8)</f>
        <v/>
      </c>
      <c r="L8" s="247">
        <f>SUM(D8-J8)</f>
        <v/>
      </c>
      <c r="M8" s="89">
        <f>SUM(L8/D8)</f>
        <v/>
      </c>
      <c r="N8" s="130" t="n">
        <v>371</v>
      </c>
      <c r="O8" s="26" t="n"/>
    </row>
    <row r="9" ht="15.6" customHeight="1">
      <c r="A9" s="409" t="inlineStr">
        <is>
          <t>Rosebank</t>
        </is>
      </c>
      <c r="B9" s="200">
        <f>'15 June - 21 June 2020'!D9</f>
        <v/>
      </c>
      <c r="C9" s="73" t="n"/>
      <c r="D9" s="145" t="n">
        <v>0</v>
      </c>
      <c r="E9" s="163">
        <f>IFERROR((SUM(D9-C9)/C9),0)</f>
        <v/>
      </c>
      <c r="F9" s="166" t="n">
        <v>0</v>
      </c>
      <c r="G9" s="63">
        <f>IFERROR(D9/F9,0)</f>
        <v/>
      </c>
      <c r="H9" s="61" t="n">
        <v>0</v>
      </c>
      <c r="I9" s="28">
        <f>IFERROR(H9/F9,0)</f>
        <v/>
      </c>
      <c r="J9" s="247" t="n">
        <v>0</v>
      </c>
      <c r="K9" s="89">
        <f>SUM(J9/D9)</f>
        <v/>
      </c>
      <c r="L9" s="247">
        <f>SUM(D9-J9)</f>
        <v/>
      </c>
      <c r="M9" s="89">
        <f>SUM(L9/D9)</f>
        <v/>
      </c>
      <c r="N9" s="130" t="n">
        <v>0</v>
      </c>
      <c r="O9" s="26" t="n"/>
    </row>
    <row r="10" ht="15.6" customHeight="1">
      <c r="A10" s="409" t="inlineStr">
        <is>
          <t xml:space="preserve">Waterkloof </t>
        </is>
      </c>
      <c r="B10" s="200">
        <f>'15 June - 21 June 2020'!D10</f>
        <v/>
      </c>
      <c r="C10" s="73" t="n">
        <v>153229.93</v>
      </c>
      <c r="D10" s="145" t="n">
        <v>88545.89</v>
      </c>
      <c r="E10" s="163">
        <f>IFERROR((SUM(D10-C10)/C10),0)</f>
        <v/>
      </c>
      <c r="F10" s="166" t="n">
        <v>393</v>
      </c>
      <c r="G10" s="63">
        <f>IFERROR(D10/F10,0)</f>
        <v/>
      </c>
      <c r="H10" s="61" t="n">
        <v>0</v>
      </c>
      <c r="I10" s="28">
        <f>IFERROR(H10/F10,0)</f>
        <v/>
      </c>
      <c r="J10" s="247" t="n">
        <v>39542.11</v>
      </c>
      <c r="K10" s="89">
        <f>SUM(J10/D10)</f>
        <v/>
      </c>
      <c r="L10" s="247">
        <f>SUM(D10-J10)</f>
        <v/>
      </c>
      <c r="M10" s="89">
        <f>SUM(L10/D10)</f>
        <v/>
      </c>
      <c r="N10" s="130" t="n">
        <v>3125</v>
      </c>
      <c r="O10" s="26" t="n"/>
    </row>
    <row r="11" ht="15.6" customHeight="1">
      <c r="A11" s="409" t="inlineStr">
        <is>
          <t>Eagles Landing</t>
        </is>
      </c>
      <c r="B11" s="200">
        <f>'15 June - 21 June 2020'!D11</f>
        <v/>
      </c>
      <c r="C11" s="73" t="n">
        <v>385707.8</v>
      </c>
      <c r="D11" s="145" t="n">
        <v>102239.35</v>
      </c>
      <c r="E11" s="163">
        <f>IFERROR((SUM(D11-C11)/C11),0)</f>
        <v/>
      </c>
      <c r="F11" s="166" t="n">
        <v>442</v>
      </c>
      <c r="G11" s="63">
        <f>IFERROR(D11/F11,0)</f>
        <v/>
      </c>
      <c r="H11" s="61" t="n">
        <v>0</v>
      </c>
      <c r="I11" s="28">
        <f>IFERROR(H11/F11,0)</f>
        <v/>
      </c>
      <c r="J11" s="247" t="n">
        <v>30671.66</v>
      </c>
      <c r="K11" s="89">
        <f>SUM(J11/D11)</f>
        <v/>
      </c>
      <c r="L11" s="247">
        <f>SUM(D11-J11)</f>
        <v/>
      </c>
      <c r="M11" s="89">
        <f>SUM(L11/D11)</f>
        <v/>
      </c>
      <c r="N11" s="130" t="n">
        <v>408.5</v>
      </c>
      <c r="O11" s="26" t="n"/>
    </row>
    <row r="12" ht="15.6" customHeight="1">
      <c r="A12" s="198" t="inlineStr">
        <is>
          <t>Stellenbosch</t>
        </is>
      </c>
      <c r="B12" s="200">
        <f>'15 June - 21 June 2020'!D12</f>
        <v/>
      </c>
      <c r="C12" s="73" t="n">
        <v>124310.04</v>
      </c>
      <c r="D12" s="145" t="n">
        <v>33440.19</v>
      </c>
      <c r="E12" s="163">
        <f>IFERROR((SUM(D12-C12)/C12),0)</f>
        <v/>
      </c>
      <c r="F12" s="166" t="n">
        <v>132</v>
      </c>
      <c r="G12" s="63">
        <f>IFERROR(D12/F12,0)</f>
        <v/>
      </c>
      <c r="H12" s="61" t="n">
        <v>0</v>
      </c>
      <c r="I12" s="28">
        <f>IFERROR(H12/F12,0)</f>
        <v/>
      </c>
      <c r="J12" s="247" t="n">
        <v>4327.7</v>
      </c>
      <c r="K12" s="89">
        <f>SUM(J12/D12)</f>
        <v/>
      </c>
      <c r="L12" s="247">
        <f>SUM(D12-J12)</f>
        <v/>
      </c>
      <c r="M12" s="89">
        <f>SUM(L12/D12)</f>
        <v/>
      </c>
      <c r="N12" s="130" t="n">
        <v>361</v>
      </c>
      <c r="O12" s="26" t="n"/>
    </row>
    <row r="13" ht="15.6" customHeight="1">
      <c r="A13" s="198" t="inlineStr">
        <is>
          <t>Lynnwood</t>
        </is>
      </c>
      <c r="B13" s="200">
        <f>'15 June - 21 June 2020'!D13</f>
        <v/>
      </c>
      <c r="C13" s="73" t="n">
        <v>223653.62</v>
      </c>
      <c r="D13" s="145" t="n">
        <v>76478.66</v>
      </c>
      <c r="E13" s="163">
        <f>IFERROR((SUM(D13-C13)/C13),0)</f>
        <v/>
      </c>
      <c r="F13" s="166" t="n">
        <v>337</v>
      </c>
      <c r="G13" s="63">
        <f>IFERROR(D13/F13,0)</f>
        <v/>
      </c>
      <c r="H13" s="61" t="n">
        <v>0</v>
      </c>
      <c r="I13" s="28">
        <f>IFERROR(H13/F13,0)</f>
        <v/>
      </c>
      <c r="J13" s="247" t="n">
        <v>33486.04</v>
      </c>
      <c r="K13" s="89">
        <f>SUM(J13/D13)</f>
        <v/>
      </c>
      <c r="L13" s="247">
        <f>SUM(D13-J13)</f>
        <v/>
      </c>
      <c r="M13" s="89">
        <f>SUM(L13/D13)</f>
        <v/>
      </c>
      <c r="N13" s="130" t="n">
        <v>940</v>
      </c>
      <c r="O13" s="26" t="n"/>
    </row>
    <row r="14" hidden="1" ht="15.6" customHeight="1">
      <c r="A14" s="198" t="inlineStr">
        <is>
          <t>Wellington</t>
        </is>
      </c>
      <c r="B14" s="200">
        <f>'15 June - 21 June 2020'!D14</f>
        <v/>
      </c>
      <c r="C14" s="73" t="n"/>
      <c r="D14" s="145" t="n"/>
      <c r="E14" s="163">
        <f>IFERROR((SUM(D14-C14)/C14),0)</f>
        <v/>
      </c>
      <c r="F14" s="166" t="n"/>
      <c r="G14" s="63">
        <f>IFERROR(D14/F14,0)</f>
        <v/>
      </c>
      <c r="H14" s="61" t="n"/>
      <c r="I14" s="28">
        <f>IFERROR(H14/F14,0)</f>
        <v/>
      </c>
      <c r="J14" s="247" t="n"/>
      <c r="K14" s="89">
        <f>SUM(J14/D14)</f>
        <v/>
      </c>
      <c r="L14" s="247">
        <f>SUM(D14-J14)</f>
        <v/>
      </c>
      <c r="M14" s="89">
        <f>SUM(L14/D14)</f>
        <v/>
      </c>
      <c r="N14" s="130" t="n"/>
      <c r="O14" s="26" t="n"/>
    </row>
    <row r="15" ht="15.6" customHeight="1">
      <c r="A15" s="198" t="inlineStr">
        <is>
          <t>Hartenbos</t>
        </is>
      </c>
      <c r="B15" s="200">
        <f>'15 June - 21 June 2020'!D15</f>
        <v/>
      </c>
      <c r="C15" s="73" t="n"/>
      <c r="D15" s="145" t="n">
        <v>0</v>
      </c>
      <c r="E15" s="163">
        <f>IFERROR((SUM(D15-C15)/C15),0)</f>
        <v/>
      </c>
      <c r="F15" s="166" t="n">
        <v>0</v>
      </c>
      <c r="G15" s="63">
        <f>IFERROR(D15/F15,0)</f>
        <v/>
      </c>
      <c r="H15" s="61" t="n">
        <v>0</v>
      </c>
      <c r="I15" s="28">
        <f>IFERROR(H15/F15,0)</f>
        <v/>
      </c>
      <c r="J15" s="247" t="n">
        <v>0</v>
      </c>
      <c r="K15" s="89">
        <f>SUM(J15/D15)</f>
        <v/>
      </c>
      <c r="L15" s="247">
        <f>SUM(D15-J15)</f>
        <v/>
      </c>
      <c r="M15" s="89">
        <f>SUM(L15/D15)</f>
        <v/>
      </c>
      <c r="N15" s="130" t="n">
        <v>0</v>
      </c>
      <c r="O15" s="9" t="n"/>
    </row>
    <row r="16" ht="15.6" customHeight="1">
      <c r="A16" s="198" t="inlineStr">
        <is>
          <t>Kyalami Corner</t>
        </is>
      </c>
      <c r="B16" s="200">
        <f>'15 June - 21 June 2020'!D16</f>
        <v/>
      </c>
      <c r="C16" s="73" t="n">
        <v>126934.85</v>
      </c>
      <c r="D16" s="145" t="n">
        <v>27768.3</v>
      </c>
      <c r="E16" s="163">
        <f>IFERROR((SUM(D16-C16)/C16),0)</f>
        <v/>
      </c>
      <c r="F16" s="166" t="n">
        <v>120</v>
      </c>
      <c r="G16" s="63">
        <f>IFERROR(D16/F16,0)</f>
        <v/>
      </c>
      <c r="H16" s="61" t="n">
        <v>0</v>
      </c>
      <c r="I16" s="28">
        <f>IFERROR(H16/F16,0)</f>
        <v/>
      </c>
      <c r="J16" s="247" t="n">
        <v>12256.17</v>
      </c>
      <c r="K16" s="89">
        <f>SUM(J16/D16)</f>
        <v/>
      </c>
      <c r="L16" s="247">
        <f>SUM(D16-J16)</f>
        <v/>
      </c>
      <c r="M16" s="89">
        <f>SUM(L16/D16)</f>
        <v/>
      </c>
      <c r="N16" s="130" t="n">
        <v>389</v>
      </c>
      <c r="O16" s="9" t="n"/>
      <c r="R16" s="238" t="n"/>
    </row>
    <row r="17" ht="15.6" customHeight="1">
      <c r="A17" s="198" t="inlineStr">
        <is>
          <t>Paulshof</t>
        </is>
      </c>
      <c r="B17" s="200">
        <f>'15 June - 21 June 2020'!D17</f>
        <v/>
      </c>
      <c r="C17" s="73" t="n">
        <v>212563.92</v>
      </c>
      <c r="D17" s="145" t="n">
        <v>57267.01</v>
      </c>
      <c r="E17" s="163">
        <f>IFERROR((SUM(D17-C17)/C17),0)</f>
        <v/>
      </c>
      <c r="F17" s="166" t="n">
        <v>288</v>
      </c>
      <c r="G17" s="63">
        <f>IFERROR(D17/F17,0)</f>
        <v/>
      </c>
      <c r="H17" s="61" t="n">
        <v>0</v>
      </c>
      <c r="I17" s="28">
        <f>IFERROR(H17/F17,0)</f>
        <v/>
      </c>
      <c r="J17" s="247" t="n">
        <v>22022.12</v>
      </c>
      <c r="K17" s="89">
        <f>SUM(J17/D17)</f>
        <v/>
      </c>
      <c r="L17" s="247">
        <f>SUM(D17-J17)</f>
        <v/>
      </c>
      <c r="M17" s="89">
        <f>SUM(L17/D17)</f>
        <v/>
      </c>
      <c r="N17" s="130" t="n">
        <v>1645</v>
      </c>
      <c r="O17" s="9" t="n"/>
    </row>
    <row r="18" ht="15.6" customHeight="1">
      <c r="A18" s="198" t="inlineStr">
        <is>
          <t>Queenswood</t>
        </is>
      </c>
      <c r="B18" s="200">
        <f>'15 June - 21 June 2020'!D18</f>
        <v/>
      </c>
      <c r="C18" s="73" t="n">
        <v>174527.99</v>
      </c>
      <c r="D18" s="145" t="n">
        <v>48313.77</v>
      </c>
      <c r="E18" s="163">
        <f>IFERROR((SUM(D18-C18)/C18),0)</f>
        <v/>
      </c>
      <c r="F18" s="166" t="n">
        <v>235</v>
      </c>
      <c r="G18" s="63">
        <f>IFERROR(D18/F18,0)</f>
        <v/>
      </c>
      <c r="H18" s="61" t="n">
        <v>0</v>
      </c>
      <c r="I18" s="28">
        <f>IFERROR(H18/F18,0)</f>
        <v/>
      </c>
      <c r="J18" s="247" t="n">
        <v>20801.46</v>
      </c>
      <c r="K18" s="89">
        <f>SUM(J18/D18)</f>
        <v/>
      </c>
      <c r="L18" s="247">
        <f>SUM(D18-J18)</f>
        <v/>
      </c>
      <c r="M18" s="89">
        <f>SUM(L18/D18)</f>
        <v/>
      </c>
      <c r="N18" s="130" t="n">
        <v>1293</v>
      </c>
      <c r="O18" s="9" t="n"/>
    </row>
    <row r="19" ht="16.2" customHeight="1" thickBot="1">
      <c r="A19" s="203" t="inlineStr">
        <is>
          <t>Centurion</t>
        </is>
      </c>
      <c r="B19" s="201">
        <f>'15 June - 21 June 2020'!D19</f>
        <v/>
      </c>
      <c r="C19" s="205" t="n">
        <v>0</v>
      </c>
      <c r="D19" s="206" t="n">
        <v>35850.35</v>
      </c>
      <c r="E19" s="207">
        <f>IFERROR((SUM(D19-C19)/C19),0)</f>
        <v/>
      </c>
      <c r="F19" s="167" t="n">
        <v>166</v>
      </c>
      <c r="G19" s="132">
        <f>IFERROR(D19/F19,0)</f>
        <v/>
      </c>
      <c r="H19" s="133" t="n">
        <v>0</v>
      </c>
      <c r="I19" s="114">
        <f>IFERROR(H19/F19,0)</f>
        <v/>
      </c>
      <c r="J19" s="248" t="n">
        <v>17726.49</v>
      </c>
      <c r="K19" s="116">
        <f>SUM(J19/D19)</f>
        <v/>
      </c>
      <c r="L19" s="248">
        <f>SUM(D19-J19)</f>
        <v/>
      </c>
      <c r="M19" s="116">
        <f>SUM(L19/D19)</f>
        <v/>
      </c>
      <c r="N19" s="134" t="n">
        <v>1607</v>
      </c>
      <c r="O19" s="9" t="n"/>
    </row>
    <row r="20">
      <c r="A20" s="81" t="n"/>
      <c r="B20" s="81" t="n"/>
      <c r="C20" s="81" t="n"/>
      <c r="D20" s="395" t="n"/>
      <c r="E20" s="81" t="n"/>
      <c r="F20" s="396" t="n"/>
      <c r="G20" s="397" t="n"/>
      <c r="H20" s="91" t="n"/>
      <c r="I20" s="397" t="n"/>
      <c r="J20" s="397" t="n"/>
      <c r="K20" s="397" t="n"/>
      <c r="L20" s="397" t="n"/>
      <c r="M20" s="397" t="n"/>
      <c r="N20" s="397" t="n"/>
      <c r="O20" s="9" t="n"/>
    </row>
    <row r="21">
      <c r="A21" s="81" t="n"/>
      <c r="B21" s="81" t="n"/>
      <c r="C21" s="81" t="n"/>
      <c r="D21" s="83" t="n"/>
      <c r="E21" s="81" t="n"/>
      <c r="F21" s="82" t="n"/>
      <c r="G21" s="81" t="n"/>
      <c r="H21" s="81" t="n"/>
      <c r="I21" s="81" t="n"/>
      <c r="J21" s="81" t="n"/>
      <c r="K21" s="81" t="n"/>
      <c r="L21" s="81" t="n"/>
      <c r="M21" s="81" t="n"/>
      <c r="N21" s="81" t="n"/>
      <c r="O21" s="9" t="n"/>
    </row>
    <row r="22">
      <c r="A22" s="81" t="n"/>
      <c r="B22" s="81" t="n"/>
      <c r="C22" s="81" t="n"/>
      <c r="D22" s="83" t="n"/>
      <c r="E22" s="81" t="n"/>
      <c r="F22" s="82" t="n"/>
      <c r="G22" s="81" t="n"/>
      <c r="H22" s="81" t="n"/>
      <c r="I22" s="81" t="n"/>
      <c r="J22" s="81" t="n"/>
      <c r="K22" s="81" t="n"/>
      <c r="L22" s="81" t="n"/>
      <c r="M22" s="81" t="n"/>
      <c r="N22" s="81" t="n"/>
      <c r="O22" s="9" t="n"/>
    </row>
    <row r="23" ht="15" customHeight="1">
      <c r="A23" s="81" t="n"/>
      <c r="B23" s="81" t="n"/>
      <c r="C23" s="81" t="n"/>
      <c r="D23" s="83" t="n"/>
      <c r="E23" s="81" t="n"/>
      <c r="F23" s="82" t="n"/>
      <c r="G23" s="81" t="n"/>
      <c r="H23" s="81" t="n"/>
      <c r="I23" s="81" t="n"/>
      <c r="J23" s="81" t="n"/>
      <c r="K23" s="81" t="n"/>
      <c r="L23" s="81" t="n"/>
      <c r="M23" s="81" t="n"/>
      <c r="N23" s="27" t="n"/>
      <c r="O23" s="9" t="n"/>
    </row>
    <row r="24">
      <c r="A24" s="81" t="n"/>
      <c r="B24" s="81" t="n"/>
      <c r="C24" s="81" t="n"/>
      <c r="D24" s="83" t="n"/>
      <c r="E24" s="81" t="n"/>
      <c r="F24" s="82" t="n"/>
      <c r="G24" s="81" t="n"/>
      <c r="H24" s="81" t="n"/>
      <c r="I24" s="81" t="n"/>
      <c r="J24" s="81" t="n"/>
      <c r="K24" s="81" t="n"/>
      <c r="L24" s="81" t="n"/>
      <c r="M24" s="81" t="n"/>
      <c r="N24" s="81" t="n"/>
      <c r="O24" s="9" t="n"/>
    </row>
    <row r="25">
      <c r="A25" s="81" t="n"/>
      <c r="B25" s="81" t="n"/>
      <c r="C25" s="81" t="n"/>
      <c r="D25" s="83" t="n"/>
      <c r="E25" s="81" t="n"/>
      <c r="F25" s="82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9" t="n"/>
    </row>
    <row r="26">
      <c r="A26" s="81" t="n"/>
      <c r="B26" s="81" t="n"/>
      <c r="C26" s="81" t="n"/>
      <c r="D26" s="83" t="n"/>
      <c r="E26" s="81" t="n"/>
      <c r="F26" s="82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9" t="n"/>
    </row>
    <row r="27">
      <c r="A27" s="81" t="n"/>
      <c r="B27" s="81" t="n"/>
      <c r="C27" s="81" t="n"/>
      <c r="D27" s="83" t="n"/>
      <c r="E27" s="81" t="n"/>
      <c r="F27" s="82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9" t="n"/>
    </row>
    <row r="28">
      <c r="A28" s="81" t="n"/>
      <c r="B28" s="81" t="n"/>
      <c r="C28" s="81" t="n"/>
      <c r="D28" s="83" t="n"/>
      <c r="E28" s="81" t="n"/>
      <c r="F28" s="82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9" t="n"/>
    </row>
  </sheetData>
  <conditionalFormatting sqref="C6:C19">
    <cfRule type="cellIs" priority="5" operator="equal" dxfId="0">
      <formula>0</formula>
    </cfRule>
  </conditionalFormatting>
  <conditionalFormatting sqref="D7:D19">
    <cfRule type="cellIs" priority="4" operator="equal" dxfId="0">
      <formula>0</formula>
    </cfRule>
  </conditionalFormatting>
  <conditionalFormatting sqref="E6:N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'22 June - 28 June 2020'!D6</f>
        <v/>
      </c>
      <c r="C6" s="123" t="n">
        <v>289905.35</v>
      </c>
      <c r="D6" s="197" t="n">
        <v>76842.63</v>
      </c>
      <c r="E6" s="162">
        <f>IFERROR((SUM(D6-C6)/C6),0)</f>
        <v/>
      </c>
      <c r="F6" s="154">
        <f>IFERROR((SUM(D6-B6)/B6),0)</f>
        <v/>
      </c>
      <c r="G6" s="149" t="n">
        <v>589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10737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2552</v>
      </c>
      <c r="P6" s="26" t="n"/>
    </row>
    <row r="7" ht="15.6" customHeight="1">
      <c r="A7" s="409" t="inlineStr">
        <is>
          <t>Melrose Arch</t>
        </is>
      </c>
      <c r="B7" s="200">
        <f>'22 June - 28 June 2020'!D7</f>
        <v/>
      </c>
      <c r="C7" s="73" t="n">
        <v>262280.91</v>
      </c>
      <c r="D7" s="145" t="n">
        <v>50110.12</v>
      </c>
      <c r="E7" s="163">
        <f>IFERROR((SUM(D7-C7)/C7),0)</f>
        <v/>
      </c>
      <c r="F7" s="155">
        <f>IFERROR((SUM(D7-B7)/B7),0)</f>
        <v/>
      </c>
      <c r="G7" s="150" t="n">
        <v>382</v>
      </c>
      <c r="H7" s="63">
        <f>IFERROR(D7/G7,0)</f>
        <v/>
      </c>
      <c r="I7" s="61" t="n">
        <v>0</v>
      </c>
      <c r="J7" s="28">
        <f>IFERROR(I7/G7,0)</f>
        <v/>
      </c>
      <c r="K7" s="247" t="n">
        <v>22446.97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1708.2</v>
      </c>
      <c r="P7" s="26" t="n"/>
    </row>
    <row r="8" ht="15.6" customHeight="1">
      <c r="A8" s="409" t="inlineStr">
        <is>
          <t>Melville</t>
        </is>
      </c>
      <c r="B8" s="200">
        <f>'22 June - 28 June 2020'!D8</f>
        <v/>
      </c>
      <c r="C8" s="73" t="n">
        <v>99818.07000000001</v>
      </c>
      <c r="D8" s="145" t="n">
        <v>43962.61</v>
      </c>
      <c r="E8" s="163">
        <f>IFERROR((SUM(D8-C8)/C8),0)</f>
        <v/>
      </c>
      <c r="F8" s="155">
        <f>IFERROR((SUM(D8-B8)/B8),0)</f>
        <v/>
      </c>
      <c r="G8" s="150" t="n">
        <v>323</v>
      </c>
      <c r="H8" s="63">
        <f>IFERROR(D8/G8,0)</f>
        <v/>
      </c>
      <c r="I8" s="61" t="n">
        <v>0</v>
      </c>
      <c r="J8" s="28">
        <f>IFERROR(I8/G8,0)</f>
        <v/>
      </c>
      <c r="K8" s="247" t="n">
        <v>19622.14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642</v>
      </c>
      <c r="P8" s="26" t="n"/>
    </row>
    <row r="9" ht="15.6" customHeight="1">
      <c r="A9" s="409" t="inlineStr">
        <is>
          <t>Rosebank</t>
        </is>
      </c>
      <c r="B9" s="200">
        <f>'22 June - 28 June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'22 June - 28 June 2020'!D10</f>
        <v/>
      </c>
      <c r="C10" s="73" t="n">
        <v>151033.79</v>
      </c>
      <c r="D10" s="145" t="n">
        <v>93462.3</v>
      </c>
      <c r="E10" s="163">
        <f>IFERROR((SUM(D10-C10)/C10),0)</f>
        <v/>
      </c>
      <c r="F10" s="155">
        <f>IFERROR((SUM(D10-B10)/B10),0)</f>
        <v/>
      </c>
      <c r="G10" s="150" t="n">
        <v>484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34191.13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2470.5</v>
      </c>
      <c r="P10" s="26" t="n"/>
    </row>
    <row r="11" ht="15.6" customHeight="1">
      <c r="A11" s="409" t="inlineStr">
        <is>
          <t>Eagles Landing</t>
        </is>
      </c>
      <c r="B11" s="200">
        <f>'22 June - 28 June 2020'!D11</f>
        <v/>
      </c>
      <c r="C11" s="73" t="n">
        <v>338755.04</v>
      </c>
      <c r="D11" s="145" t="n">
        <v>101159.93</v>
      </c>
      <c r="E11" s="163">
        <f>IFERROR((SUM(D11-C11)/C11),0)</f>
        <v/>
      </c>
      <c r="F11" s="155">
        <f>IFERROR((SUM(D11-B11)/B11),0)</f>
        <v/>
      </c>
      <c r="G11" s="150" t="n">
        <v>497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20972.31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1795</v>
      </c>
      <c r="P11" s="26" t="n"/>
    </row>
    <row r="12" ht="15.6" customHeight="1">
      <c r="A12" s="198" t="inlineStr">
        <is>
          <t>Stellenbosch</t>
        </is>
      </c>
      <c r="B12" s="200">
        <f>'22 June - 28 June 2020'!D12</f>
        <v/>
      </c>
      <c r="C12" s="73" t="n">
        <v>130753.32</v>
      </c>
      <c r="D12" s="145" t="n">
        <v>43792.43</v>
      </c>
      <c r="E12" s="163">
        <f>IFERROR((SUM(D12-C12)/C12),0)</f>
        <v/>
      </c>
      <c r="F12" s="155">
        <f>IFERROR((SUM(D12-B12)/B12),0)</f>
        <v/>
      </c>
      <c r="G12" s="150" t="n">
        <v>247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8975.959999999999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272.5</v>
      </c>
      <c r="P12" s="26" t="n"/>
    </row>
    <row r="13" ht="15.6" customHeight="1">
      <c r="A13" s="198" t="inlineStr">
        <is>
          <t>Lynnwood</t>
        </is>
      </c>
      <c r="B13" s="200">
        <f>'22 June - 28 June 2020'!D13</f>
        <v/>
      </c>
      <c r="C13" s="73" t="n">
        <v>216356.41</v>
      </c>
      <c r="D13" s="145" t="n">
        <v>85690.84</v>
      </c>
      <c r="E13" s="163">
        <f>IFERROR((SUM(D13-C13)/C13),0)</f>
        <v/>
      </c>
      <c r="F13" s="155">
        <f>IFERROR((SUM(D13-B13)/B13),0)</f>
        <v/>
      </c>
      <c r="G13" s="150" t="n">
        <v>425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22562.32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886</v>
      </c>
      <c r="P13" s="26" t="n"/>
    </row>
    <row r="14" hidden="1" ht="15.6" customHeight="1">
      <c r="A14" s="198" t="inlineStr">
        <is>
          <t>Wellington</t>
        </is>
      </c>
      <c r="B14" s="200">
        <f>'22 June - 28 June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'22 June - 28 June 2020'!D15</f>
        <v/>
      </c>
      <c r="C15" s="73" t="n">
        <v>216202.84</v>
      </c>
      <c r="D15" s="145" t="n">
        <v>47775.05</v>
      </c>
      <c r="E15" s="163">
        <f>IFERROR((SUM(D15-C15)/C15),0)</f>
        <v/>
      </c>
      <c r="F15" s="155">
        <f>IFERROR((SUM(D15-B15)/B15),0)</f>
        <v/>
      </c>
      <c r="G15" s="150" t="n">
        <v>345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487</v>
      </c>
      <c r="P15" s="9" t="n"/>
    </row>
    <row r="16" ht="15.6" customHeight="1">
      <c r="A16" s="198" t="inlineStr">
        <is>
          <t>Kyalami Corner</t>
        </is>
      </c>
      <c r="B16" s="200">
        <f>'22 June - 28 June 2020'!D16</f>
        <v/>
      </c>
      <c r="C16" s="73" t="n">
        <v>133866.99</v>
      </c>
      <c r="D16" s="145" t="n">
        <v>34549.61</v>
      </c>
      <c r="E16" s="163">
        <f>IFERROR((SUM(D16-C16)/C16),0)</f>
        <v/>
      </c>
      <c r="F16" s="155">
        <f>IFERROR((SUM(D16-B16)/B16),0)</f>
        <v/>
      </c>
      <c r="G16" s="150" t="n">
        <v>202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15186.89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1032.5</v>
      </c>
      <c r="P16" s="9" t="n"/>
      <c r="S16" s="238" t="n"/>
    </row>
    <row r="17" ht="15.6" customHeight="1">
      <c r="A17" s="198" t="inlineStr">
        <is>
          <t>Paulshof</t>
        </is>
      </c>
      <c r="B17" s="200">
        <f>'22 June - 28 June 2020'!D17</f>
        <v/>
      </c>
      <c r="C17" s="73" t="n">
        <v>204115.87</v>
      </c>
      <c r="D17" s="145" t="n">
        <v>70811.86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27039.74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1984</v>
      </c>
      <c r="P17" s="9" t="n"/>
    </row>
    <row r="18" ht="15.6" customHeight="1">
      <c r="A18" s="198" t="inlineStr">
        <is>
          <t>Queenswood</t>
        </is>
      </c>
      <c r="B18" s="200">
        <f>'22 June - 28 June 2020'!D18</f>
        <v/>
      </c>
      <c r="C18" s="73" t="n">
        <v>171677.33</v>
      </c>
      <c r="D18" s="145" t="n">
        <v>72728.73</v>
      </c>
      <c r="E18" s="163">
        <f>IFERROR((SUM(D18-C18)/C18),0)</f>
        <v/>
      </c>
      <c r="F18" s="155">
        <f>IFERROR((SUM(D18-B18)/B18),0)</f>
        <v/>
      </c>
      <c r="G18" s="150" t="n">
        <v>496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18476.99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965</v>
      </c>
      <c r="P18" s="9" t="n"/>
    </row>
    <row r="19" ht="16.2" customHeight="1" thickBot="1">
      <c r="A19" s="203" t="inlineStr">
        <is>
          <t>Centurion</t>
        </is>
      </c>
      <c r="B19" s="201">
        <f>'22 June - 28 June 2020'!D19</f>
        <v/>
      </c>
      <c r="C19" s="205" t="n"/>
      <c r="D19" s="206" t="n">
        <v>40314.31</v>
      </c>
      <c r="E19" s="207">
        <f>IFERROR((SUM(D19-C19)/C19),0)</f>
        <v/>
      </c>
      <c r="F19" s="156">
        <f>IFERROR((SUM(D19-B19)/B19),0)</f>
        <v/>
      </c>
      <c r="G19" s="151" t="n">
        <v>270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15316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1085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7" operator="equal" dxfId="0">
      <formula>0</formula>
    </cfRule>
  </conditionalFormatting>
  <conditionalFormatting sqref="D7:D19">
    <cfRule type="cellIs" priority="6" operator="equal" dxfId="0">
      <formula>0</formula>
    </cfRule>
  </conditionalFormatting>
  <conditionalFormatting sqref="E6:O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'29 June - 5 July 2020'!D6</f>
        <v/>
      </c>
      <c r="C6" s="123" t="n">
        <v>226514.71</v>
      </c>
      <c r="D6" s="197" t="n">
        <v>80792.57000000001</v>
      </c>
      <c r="E6" s="162">
        <f>IFERROR((SUM(D6-C6)/C6),0)</f>
        <v/>
      </c>
      <c r="F6" s="154">
        <f>IFERROR((SUM(D6-B6)/B6),0)</f>
        <v/>
      </c>
      <c r="G6" s="149" t="n">
        <v>330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28493.43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2881</v>
      </c>
      <c r="P6" s="26" t="n"/>
    </row>
    <row r="7" ht="15.6" customHeight="1">
      <c r="A7" s="409" t="inlineStr">
        <is>
          <t>Melrose Arch</t>
        </is>
      </c>
      <c r="B7" s="200">
        <f>'29 June - 5 July 2020'!D7</f>
        <v/>
      </c>
      <c r="C7" s="73" t="n">
        <v>204794.67</v>
      </c>
      <c r="D7" s="145" t="n">
        <v>51345.6</v>
      </c>
      <c r="E7" s="163">
        <f>IFERROR((SUM(D7-C7)/C7),0)</f>
        <v/>
      </c>
      <c r="F7" s="155">
        <f>IFERROR((SUM(D7-B7)/B7),0)</f>
        <v/>
      </c>
      <c r="G7" s="150" t="n">
        <v>224</v>
      </c>
      <c r="H7" s="63">
        <f>IFERROR(D7/G7,0)</f>
        <v/>
      </c>
      <c r="I7" s="61" t="n">
        <v>0</v>
      </c>
      <c r="J7" s="28">
        <f>IFERROR(I7/G7,0)</f>
        <v/>
      </c>
      <c r="K7" s="247" t="n">
        <v>28043.93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1155</v>
      </c>
      <c r="P7" s="26" t="n"/>
    </row>
    <row r="8" ht="15.6" customHeight="1">
      <c r="A8" s="409" t="inlineStr">
        <is>
          <t>Melville</t>
        </is>
      </c>
      <c r="B8" s="200">
        <f>'29 June - 5 July 2020'!D8</f>
        <v/>
      </c>
      <c r="C8" s="73" t="n">
        <v>95007.63</v>
      </c>
      <c r="D8" s="145" t="n">
        <v>46298.73</v>
      </c>
      <c r="E8" s="163">
        <f>IFERROR((SUM(D8-C8)/C8),0)</f>
        <v/>
      </c>
      <c r="F8" s="155">
        <f>IFERROR((SUM(D8-B8)/B8),0)</f>
        <v/>
      </c>
      <c r="G8" s="150" t="n">
        <v>247</v>
      </c>
      <c r="H8" s="63">
        <f>IFERROR(D8/G8,0)</f>
        <v/>
      </c>
      <c r="I8" s="61" t="n">
        <v>0</v>
      </c>
      <c r="J8" s="28">
        <f>IFERROR(I8/G8,0)</f>
        <v/>
      </c>
      <c r="K8" s="247" t="n">
        <v>26276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735.3</v>
      </c>
      <c r="P8" s="26" t="n"/>
    </row>
    <row r="9" ht="15.6" customHeight="1">
      <c r="A9" s="409" t="inlineStr">
        <is>
          <t>Rosebank</t>
        </is>
      </c>
      <c r="B9" s="200">
        <f>'29 June - 5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'29 June - 5 July 2020'!D10</f>
        <v/>
      </c>
      <c r="C10" s="73" t="n">
        <v>131503.14</v>
      </c>
      <c r="D10" s="145" t="n">
        <v>81602.67</v>
      </c>
      <c r="E10" s="163">
        <f>IFERROR((SUM(D10-C10)/C10),0)</f>
        <v/>
      </c>
      <c r="F10" s="155">
        <f>IFERROR((SUM(D10-B10)/B10),0)</f>
        <v/>
      </c>
      <c r="G10" s="150" t="n">
        <v>431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30422.79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1589</v>
      </c>
      <c r="P10" s="26" t="n"/>
    </row>
    <row r="11" ht="15.6" customHeight="1">
      <c r="A11" s="409" t="inlineStr">
        <is>
          <t>Eagles Landing</t>
        </is>
      </c>
      <c r="B11" s="200">
        <f>'29 June - 5 July 2020'!D11</f>
        <v/>
      </c>
      <c r="C11" s="73" t="n">
        <v>326039.56</v>
      </c>
      <c r="D11" s="145" t="n">
        <v>108225.4</v>
      </c>
      <c r="E11" s="163">
        <f>IFERROR((SUM(D11-C11)/C11),0)</f>
        <v/>
      </c>
      <c r="F11" s="155">
        <f>IFERROR((SUM(D11-B11)/B11),0)</f>
        <v/>
      </c>
      <c r="G11" s="150" t="n">
        <v>455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19218.13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864.5</v>
      </c>
      <c r="P11" s="26" t="n"/>
    </row>
    <row r="12" ht="15.6" customHeight="1">
      <c r="A12" s="198" t="inlineStr">
        <is>
          <t>Stellenbosch</t>
        </is>
      </c>
      <c r="B12" s="200">
        <f>'29 June - 5 July 2020'!D12</f>
        <v/>
      </c>
      <c r="C12" s="73" t="n">
        <v>125918.89</v>
      </c>
      <c r="D12" s="145" t="n">
        <v>43519.28</v>
      </c>
      <c r="E12" s="163">
        <f>IFERROR((SUM(D12-C12)/C12),0)</f>
        <v/>
      </c>
      <c r="F12" s="155">
        <f>IFERROR((SUM(D12-B12)/B12),0)</f>
        <v/>
      </c>
      <c r="G12" s="150" t="n">
        <v>172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4204.43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317.5</v>
      </c>
      <c r="P12" s="26" t="n"/>
    </row>
    <row r="13" ht="15.6" customHeight="1">
      <c r="A13" s="198" t="inlineStr">
        <is>
          <t>Lynnwood</t>
        </is>
      </c>
      <c r="B13" s="200">
        <f>'29 June - 5 July 2020'!D13</f>
        <v/>
      </c>
      <c r="C13" s="73" t="n">
        <v>197895.08</v>
      </c>
      <c r="D13" s="145" t="n">
        <v>86048.78999999999</v>
      </c>
      <c r="E13" s="163">
        <f>IFERROR((SUM(D13-C13)/C13),0)</f>
        <v/>
      </c>
      <c r="F13" s="155">
        <f>IFERROR((SUM(D13-B13)/B13),0)</f>
        <v/>
      </c>
      <c r="G13" s="150" t="n">
        <v>362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28911.9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978</v>
      </c>
      <c r="P13" s="26" t="n"/>
    </row>
    <row r="14" hidden="1" ht="15.6" customHeight="1">
      <c r="A14" s="198" t="inlineStr">
        <is>
          <t>Wellington</t>
        </is>
      </c>
      <c r="B14" s="200">
        <f>'29 June - 5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'29 June - 5 July 2020'!D15</f>
        <v/>
      </c>
      <c r="C15" s="73" t="n">
        <v>157538.72</v>
      </c>
      <c r="D15" s="145" t="n">
        <v>53938.79</v>
      </c>
      <c r="E15" s="163">
        <f>IFERROR((SUM(D15-C15)/C15),0)</f>
        <v/>
      </c>
      <c r="F15" s="155">
        <f>IFERROR((SUM(D15-B15)/B15),0)</f>
        <v/>
      </c>
      <c r="G15" s="150" t="n">
        <v>214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1658</v>
      </c>
      <c r="P15" s="9" t="n"/>
    </row>
    <row r="16" ht="15.6" customHeight="1">
      <c r="A16" s="198" t="inlineStr">
        <is>
          <t>Kyalami Corner</t>
        </is>
      </c>
      <c r="B16" s="200">
        <f>'29 June - 5 July 2020'!D16</f>
        <v/>
      </c>
      <c r="C16" s="73" t="n">
        <v>107345.47</v>
      </c>
      <c r="D16" s="145" t="n">
        <v>47187.09</v>
      </c>
      <c r="E16" s="163">
        <f>IFERROR((SUM(D16-C16)/C16),0)</f>
        <v/>
      </c>
      <c r="F16" s="155">
        <f>IFERROR((SUM(D16-B16)/B16),0)</f>
        <v/>
      </c>
      <c r="G16" s="150" t="n">
        <v>211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13681.9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1074</v>
      </c>
      <c r="P16" s="9" t="n"/>
      <c r="S16" s="238" t="n"/>
    </row>
    <row r="17" ht="15.6" customHeight="1">
      <c r="A17" s="198" t="inlineStr">
        <is>
          <t>Paulshof</t>
        </is>
      </c>
      <c r="B17" s="200">
        <f>'29 June - 5 July 2020'!D17</f>
        <v/>
      </c>
      <c r="C17" s="73" t="n">
        <v>190547.85</v>
      </c>
      <c r="D17" s="145" t="n">
        <v>63047.6</v>
      </c>
      <c r="E17" s="163">
        <f>IFERROR((SUM(D17-C17)/C17),0)</f>
        <v/>
      </c>
      <c r="F17" s="155">
        <f>IFERROR((SUM(D17-B17)/B17),0)</f>
        <v/>
      </c>
      <c r="G17" s="150" t="n">
        <v>318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23390.32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2078.5</v>
      </c>
      <c r="P17" s="9" t="n"/>
    </row>
    <row r="18" ht="15.6" customHeight="1">
      <c r="A18" s="198" t="inlineStr">
        <is>
          <t>Queenswood</t>
        </is>
      </c>
      <c r="B18" s="200">
        <f>'29 June - 5 July 2020'!D18</f>
        <v/>
      </c>
      <c r="C18" s="73" t="n">
        <v>159732.85</v>
      </c>
      <c r="D18" s="145" t="n">
        <v>56017.28</v>
      </c>
      <c r="E18" s="163">
        <f>IFERROR((SUM(D18-C18)/C18),0)</f>
        <v/>
      </c>
      <c r="F18" s="155">
        <f>IFERROR((SUM(D18-B18)/B18),0)</f>
        <v/>
      </c>
      <c r="G18" s="150" t="n">
        <v>264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16663.86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1313.5</v>
      </c>
      <c r="P18" s="9" t="n"/>
    </row>
    <row r="19" ht="16.2" customHeight="1" thickBot="1">
      <c r="A19" s="203" t="inlineStr">
        <is>
          <t>Centurion</t>
        </is>
      </c>
      <c r="B19" s="201">
        <f>'29 June - 5 July 2020'!D19</f>
        <v/>
      </c>
      <c r="C19" s="205" t="n"/>
      <c r="D19" s="206" t="n">
        <v>41469.71</v>
      </c>
      <c r="E19" s="207">
        <f>IFERROR((SUM(D19-C19)/C19),0)</f>
        <v/>
      </c>
      <c r="F19" s="156">
        <f>IFERROR((SUM(D19-B19)/B19),0)</f>
        <v/>
      </c>
      <c r="G19" s="151" t="n">
        <v>211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17164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1552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'6 July - 12 July 2020'!D6</f>
        <v/>
      </c>
      <c r="C6" s="123" t="n">
        <v>246778.34</v>
      </c>
      <c r="D6" s="197" t="n">
        <v>72545.98</v>
      </c>
      <c r="E6" s="162">
        <f>IFERROR((SUM(D6-C6)/C6),0)</f>
        <v/>
      </c>
      <c r="F6" s="154">
        <f>IFERROR((SUM(D6-B6)/B6),0)</f>
        <v/>
      </c>
      <c r="G6" s="149" t="n">
        <v>237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15538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1700</v>
      </c>
      <c r="P6" s="26" t="n"/>
    </row>
    <row r="7" ht="15.6" customHeight="1">
      <c r="A7" s="409" t="inlineStr">
        <is>
          <t>Melrose Arch</t>
        </is>
      </c>
      <c r="B7" s="200">
        <f>'6 July - 12 July 2020'!D7</f>
        <v/>
      </c>
      <c r="C7" s="73" t="n">
        <v>191381.89</v>
      </c>
      <c r="D7" s="145" t="n">
        <v>58282.09</v>
      </c>
      <c r="E7" s="163">
        <f>IFERROR((SUM(D7-C7)/C7),0)</f>
        <v/>
      </c>
      <c r="F7" s="155">
        <f>IFERROR((SUM(D7-B7)/B7),0)</f>
        <v/>
      </c>
      <c r="G7" s="150" t="n">
        <v>261</v>
      </c>
      <c r="H7" s="63">
        <f>IFERROR(D7/G7,0)</f>
        <v/>
      </c>
      <c r="I7" s="61" t="n">
        <v>0</v>
      </c>
      <c r="J7" s="28">
        <f>IFERROR(I7/G7,0)</f>
        <v/>
      </c>
      <c r="K7" s="247" t="n">
        <v>27798.82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2257</v>
      </c>
      <c r="P7" s="26" t="n"/>
    </row>
    <row r="8" ht="15.6" customHeight="1">
      <c r="A8" s="409" t="inlineStr">
        <is>
          <t>Melville</t>
        </is>
      </c>
      <c r="B8" s="200">
        <f>'6 July - 12 July 2020'!D8</f>
        <v/>
      </c>
      <c r="C8" s="73" t="n">
        <v>97633.12</v>
      </c>
      <c r="D8" s="145" t="n">
        <v>48298.25</v>
      </c>
      <c r="E8" s="163">
        <f>IFERROR((SUM(D8-C8)/C8),0)</f>
        <v/>
      </c>
      <c r="F8" s="155">
        <f>IFERROR((SUM(D8-B8)/B8),0)</f>
        <v/>
      </c>
      <c r="G8" s="150" t="n">
        <v>230</v>
      </c>
      <c r="H8" s="63">
        <f>IFERROR(D8/G8,0)</f>
        <v/>
      </c>
      <c r="I8" s="61" t="n">
        <v>0</v>
      </c>
      <c r="J8" s="28">
        <f>IFERROR(I8/G8,0)</f>
        <v/>
      </c>
      <c r="K8" s="247" t="n">
        <v>29384.77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1075</v>
      </c>
      <c r="P8" s="26" t="n"/>
    </row>
    <row r="9" ht="15.6" customHeight="1">
      <c r="A9" s="409" t="inlineStr">
        <is>
          <t>Rosebank</t>
        </is>
      </c>
      <c r="B9" s="200">
        <f>'6 July - 12 July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'6 July - 12 July 2020'!D10</f>
        <v/>
      </c>
      <c r="C10" s="73" t="n">
        <v>142718.31</v>
      </c>
      <c r="D10" s="145" t="n">
        <v>74387.09</v>
      </c>
      <c r="E10" s="163">
        <f>IFERROR((SUM(D10-C10)/C10),0)</f>
        <v/>
      </c>
      <c r="F10" s="155">
        <f>IFERROR((SUM(D10-B10)/B10),0)</f>
        <v/>
      </c>
      <c r="G10" s="150" t="n">
        <v>275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24975.92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1194.5</v>
      </c>
      <c r="P10" s="26" t="n"/>
    </row>
    <row r="11" ht="15.6" customHeight="1">
      <c r="A11" s="409" t="inlineStr">
        <is>
          <t>Eagles Landing</t>
        </is>
      </c>
      <c r="B11" s="200">
        <f>'6 July - 12 July 2020'!D11</f>
        <v/>
      </c>
      <c r="C11" s="73" t="n">
        <v>312926.61</v>
      </c>
      <c r="D11" s="145" t="n">
        <v>92576.49000000001</v>
      </c>
      <c r="E11" s="163">
        <f>IFERROR((SUM(D11-C11)/C11),0)</f>
        <v/>
      </c>
      <c r="F11" s="155">
        <f>IFERROR((SUM(D11-B11)/B11),0)</f>
        <v/>
      </c>
      <c r="G11" s="150" t="n">
        <v>431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15797.43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932</v>
      </c>
      <c r="P11" s="26" t="n"/>
    </row>
    <row r="12" ht="15.6" customHeight="1">
      <c r="A12" s="198" t="inlineStr">
        <is>
          <t>Stellenbosch</t>
        </is>
      </c>
      <c r="B12" s="200">
        <f>'6 July - 12 July 2020'!D12</f>
        <v/>
      </c>
      <c r="C12" s="73" t="n">
        <v>130704.49</v>
      </c>
      <c r="D12" s="145" t="n">
        <v>41476.38</v>
      </c>
      <c r="E12" s="163">
        <f>IFERROR((SUM(D12-C12)/C12),0)</f>
        <v/>
      </c>
      <c r="F12" s="155">
        <f>IFERROR((SUM(D12-B12)/B12),0)</f>
        <v/>
      </c>
      <c r="G12" s="150" t="n">
        <v>151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2073.7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855.5</v>
      </c>
      <c r="P12" s="26" t="n"/>
    </row>
    <row r="13" ht="15.6" customHeight="1">
      <c r="A13" s="198" t="inlineStr">
        <is>
          <t>Lynnwood</t>
        </is>
      </c>
      <c r="B13" s="200">
        <f>'6 July - 12 July 2020'!D13</f>
        <v/>
      </c>
      <c r="C13" s="73" t="n">
        <v>187064.58</v>
      </c>
      <c r="D13" s="145" t="n">
        <v>91864.47</v>
      </c>
      <c r="E13" s="163">
        <f>IFERROR((SUM(D13-C13)/C13),0)</f>
        <v/>
      </c>
      <c r="F13" s="155">
        <f>IFERROR((SUM(D13-B13)/B13),0)</f>
        <v/>
      </c>
      <c r="G13" s="150" t="n">
        <v>333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15545.7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618</v>
      </c>
      <c r="P13" s="26" t="n"/>
    </row>
    <row r="14" hidden="1" ht="15.6" customHeight="1">
      <c r="A14" s="198" t="inlineStr">
        <is>
          <t>Wellington</t>
        </is>
      </c>
      <c r="B14" s="200">
        <f>'6 July - 12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'6 July - 12 July 2020'!D15</f>
        <v/>
      </c>
      <c r="C15" s="73" t="n">
        <v>151349.99</v>
      </c>
      <c r="D15" s="145" t="n">
        <v>57907.26</v>
      </c>
      <c r="E15" s="163">
        <f>IFERROR((SUM(D15-C15)/C15),0)</f>
        <v/>
      </c>
      <c r="F15" s="155">
        <f>IFERROR((SUM(D15-B15)/B15),0)</f>
        <v/>
      </c>
      <c r="G15" s="150" t="n">
        <v>241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1337</v>
      </c>
      <c r="P15" s="9" t="n"/>
    </row>
    <row r="16" ht="15.6" customHeight="1">
      <c r="A16" s="198" t="inlineStr">
        <is>
          <t>Kyalami Corner</t>
        </is>
      </c>
      <c r="B16" s="200">
        <f>'6 July - 12 July 2020'!D16</f>
        <v/>
      </c>
      <c r="C16" s="73" t="n">
        <v>115444.65</v>
      </c>
      <c r="D16" s="145" t="n">
        <v>46581.21</v>
      </c>
      <c r="E16" s="163">
        <f>IFERROR((SUM(D16-C16)/C16),0)</f>
        <v/>
      </c>
      <c r="F16" s="155">
        <f>IFERROR((SUM(D16-B16)/B16),0)</f>
        <v/>
      </c>
      <c r="G16" s="150" t="n">
        <v>196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14637.32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1441</v>
      </c>
      <c r="P16" s="9" t="n"/>
      <c r="S16" s="238" t="n"/>
    </row>
    <row r="17" ht="15.6" customHeight="1">
      <c r="A17" s="198" t="inlineStr">
        <is>
          <t>Paulshof</t>
        </is>
      </c>
      <c r="B17" s="200">
        <f>'6 July - 12 July 2020'!D17</f>
        <v/>
      </c>
      <c r="C17" s="73" t="n">
        <v>188856.74</v>
      </c>
      <c r="D17" s="145" t="n">
        <v>71145.75999999999</v>
      </c>
      <c r="E17" s="163">
        <f>IFERROR((SUM(D17-C17)/C17),0)</f>
        <v/>
      </c>
      <c r="F17" s="155">
        <f>IFERROR((SUM(D17-B17)/B17),0)</f>
        <v/>
      </c>
      <c r="G17" s="150" t="n">
        <v>315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22798.96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2048.5</v>
      </c>
      <c r="P17" s="9" t="n"/>
    </row>
    <row r="18" ht="15.6" customHeight="1">
      <c r="A18" s="198" t="inlineStr">
        <is>
          <t>Queenswood</t>
        </is>
      </c>
      <c r="B18" s="200">
        <f>'6 July - 12 July 2020'!D18</f>
        <v/>
      </c>
      <c r="C18" s="73" t="n">
        <v>160386.38</v>
      </c>
      <c r="D18" s="145" t="n">
        <v>60684.03</v>
      </c>
      <c r="E18" s="163">
        <f>IFERROR((SUM(D18-C18)/C18),0)</f>
        <v/>
      </c>
      <c r="F18" s="155">
        <f>IFERROR((SUM(D18-B18)/B18),0)</f>
        <v/>
      </c>
      <c r="G18" s="150" t="n">
        <v>255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15300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670</v>
      </c>
      <c r="P18" s="9" t="n"/>
    </row>
    <row r="19" ht="16.2" customHeight="1" thickBot="1">
      <c r="A19" s="203" t="inlineStr">
        <is>
          <t>Centurion</t>
        </is>
      </c>
      <c r="B19" s="201">
        <f>'6 July - 12 July 2020'!D19</f>
        <v/>
      </c>
      <c r="C19" s="205" t="n"/>
      <c r="D19" s="206" t="n">
        <v>34887.11</v>
      </c>
      <c r="E19" s="207">
        <f>IFERROR((SUM(D19-C19)/C19),0)</f>
        <v/>
      </c>
      <c r="F19" s="156">
        <f>IFERROR((SUM(D19-B19)/B19),0)</f>
        <v/>
      </c>
      <c r="G19" s="151" t="n">
        <v>160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13057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1651.5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1.66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In-Store Deliveries / T-Away</t>
        </is>
      </c>
      <c r="N3" s="177" t="inlineStr">
        <is>
          <t>Deliveries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'13 July - 19 July 2020'!D6</f>
        <v/>
      </c>
      <c r="C6" s="123" t="n">
        <v>271945.84</v>
      </c>
      <c r="D6" s="197" t="n">
        <v>94828.28</v>
      </c>
      <c r="E6" s="162">
        <f>IFERROR((SUM(D6-C6)/C6),0)</f>
        <v/>
      </c>
      <c r="F6" s="154">
        <f>IFERROR((SUM(D6-B6)/B6),0)</f>
        <v/>
      </c>
      <c r="G6" s="149" t="n">
        <v>583</v>
      </c>
      <c r="H6" s="124">
        <f>IFERROR(D6/G6,0)</f>
        <v/>
      </c>
      <c r="I6" s="125" t="n">
        <v>0</v>
      </c>
      <c r="J6" s="126">
        <f>IFERROR(I6/G6,0)</f>
        <v/>
      </c>
      <c r="K6" s="246" t="n">
        <v>24326.74</v>
      </c>
      <c r="L6" s="128">
        <f>SUM(K6/D6)</f>
        <v/>
      </c>
      <c r="M6" s="247">
        <f>SUM(D6-K6)</f>
        <v/>
      </c>
      <c r="N6" s="128">
        <f>SUM(M6/D6)</f>
        <v/>
      </c>
      <c r="O6" s="129" t="n">
        <v>2349</v>
      </c>
      <c r="P6" s="26" t="n"/>
    </row>
    <row r="7" ht="15.6" customHeight="1">
      <c r="A7" s="409" t="inlineStr">
        <is>
          <t>Melrose Arch</t>
        </is>
      </c>
      <c r="B7" s="200">
        <f>'13 July - 19 July 2020'!D7</f>
        <v/>
      </c>
      <c r="C7" s="73" t="n">
        <v>260258.72</v>
      </c>
      <c r="D7" s="145" t="n">
        <v>70362.24000000001</v>
      </c>
      <c r="E7" s="163">
        <f>IFERROR((SUM(D7-C7)/C7),0)</f>
        <v/>
      </c>
      <c r="F7" s="155">
        <f>IFERROR((SUM(D7-B7)/B7),0)</f>
        <v/>
      </c>
      <c r="G7" s="150" t="n">
        <v>448</v>
      </c>
      <c r="H7" s="63">
        <f>IFERROR(D7/G7,0)</f>
        <v/>
      </c>
      <c r="I7" s="61" t="n">
        <v>0</v>
      </c>
      <c r="J7" s="28">
        <f>IFERROR(I7/G7,0)</f>
        <v/>
      </c>
      <c r="K7" s="247" t="n">
        <v>31610.82</v>
      </c>
      <c r="L7" s="89">
        <f>SUM(K7/D7)</f>
        <v/>
      </c>
      <c r="M7" s="247">
        <f>SUM(D7-K7)</f>
        <v/>
      </c>
      <c r="N7" s="89">
        <f>SUM(M7/D7)</f>
        <v/>
      </c>
      <c r="O7" s="130" t="n">
        <v>1691.7</v>
      </c>
      <c r="P7" s="26" t="n"/>
    </row>
    <row r="8" ht="15.6" customHeight="1">
      <c r="A8" s="409" t="inlineStr">
        <is>
          <t>Melville</t>
        </is>
      </c>
      <c r="B8" s="200">
        <f>'13 July - 19 July 2020'!D8</f>
        <v/>
      </c>
      <c r="C8" s="73" t="n">
        <v>125957.48</v>
      </c>
      <c r="D8" s="145" t="n">
        <v>58768.38</v>
      </c>
      <c r="E8" s="163">
        <f>IFERROR((SUM(D8-C8)/C8),0)</f>
        <v/>
      </c>
      <c r="F8" s="155">
        <f>IFERROR((SUM(D8-B8)/B8),0)</f>
        <v/>
      </c>
      <c r="G8" s="150" t="n">
        <v>596</v>
      </c>
      <c r="H8" s="63">
        <f>IFERROR(D8/G8,0)</f>
        <v/>
      </c>
      <c r="I8" s="61" t="n">
        <v>0</v>
      </c>
      <c r="J8" s="28">
        <f>IFERROR(I8/G8,0)</f>
        <v/>
      </c>
      <c r="K8" s="247" t="n">
        <v>32527.58</v>
      </c>
      <c r="L8" s="89">
        <f>SUM(K8/D8)</f>
        <v/>
      </c>
      <c r="M8" s="247">
        <f>SUM(D8-K8)</f>
        <v/>
      </c>
      <c r="N8" s="89">
        <f>SUM(M8/D8)</f>
        <v/>
      </c>
      <c r="O8" s="130" t="n">
        <v>595</v>
      </c>
      <c r="P8" s="26" t="n"/>
    </row>
    <row r="9" ht="15.6" customHeight="1">
      <c r="A9" s="409" t="inlineStr">
        <is>
          <t>Rosebank</t>
        </is>
      </c>
      <c r="B9" s="200">
        <f>'13 July - 19 July 2020'!D9</f>
        <v/>
      </c>
      <c r="C9" s="73" t="n"/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>
        <f>SUM(D9-K9)</f>
        <v/>
      </c>
      <c r="N9" s="89">
        <f>SUM(M9/D9)</f>
        <v/>
      </c>
      <c r="O9" s="130" t="n">
        <v>0</v>
      </c>
      <c r="P9" s="26" t="n"/>
    </row>
    <row r="10" ht="15.6" customHeight="1">
      <c r="A10" s="409" t="inlineStr">
        <is>
          <t xml:space="preserve">Waterkloof </t>
        </is>
      </c>
      <c r="B10" s="200">
        <f>'13 July - 19 July 2020'!D10</f>
        <v/>
      </c>
      <c r="C10" s="73" t="n">
        <v>164093.67</v>
      </c>
      <c r="D10" s="145" t="n">
        <v>74596.09</v>
      </c>
      <c r="E10" s="163">
        <f>IFERROR((SUM(D10-C10)/C10),0)</f>
        <v/>
      </c>
      <c r="F10" s="155">
        <f>IFERROR((SUM(D10-B10)/B10),0)</f>
        <v/>
      </c>
      <c r="G10" s="150" t="n">
        <v>383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20815.97</v>
      </c>
      <c r="L10" s="89">
        <f>SUM(K10/D10)</f>
        <v/>
      </c>
      <c r="M10" s="247">
        <f>SUM(D10-K10)</f>
        <v/>
      </c>
      <c r="N10" s="89">
        <f>SUM(M10/D10)</f>
        <v/>
      </c>
      <c r="O10" s="130" t="n">
        <v>1235.8</v>
      </c>
      <c r="P10" s="26" t="n"/>
    </row>
    <row r="11" ht="15.6" customHeight="1">
      <c r="A11" s="409" t="inlineStr">
        <is>
          <t>Eagles Landing</t>
        </is>
      </c>
      <c r="B11" s="200">
        <f>'13 July - 19 July 2020'!D11</f>
        <v/>
      </c>
      <c r="C11" s="73" t="n">
        <v>353967.18</v>
      </c>
      <c r="D11" s="145" t="n">
        <v>116729.46</v>
      </c>
      <c r="E11" s="163">
        <f>IFERROR((SUM(D11-C11)/C11),0)</f>
        <v/>
      </c>
      <c r="F11" s="155">
        <f>IFERROR((SUM(D11-B11)/B11),0)</f>
        <v/>
      </c>
      <c r="G11" s="150" t="n">
        <v>586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21622.19</v>
      </c>
      <c r="L11" s="89">
        <f>SUM(K11/D11)</f>
        <v/>
      </c>
      <c r="M11" s="247">
        <f>SUM(D11-K11)</f>
        <v/>
      </c>
      <c r="N11" s="89">
        <f>SUM(M11/D11)</f>
        <v/>
      </c>
      <c r="O11" s="130" t="n">
        <v>1753</v>
      </c>
      <c r="P11" s="26" t="n"/>
    </row>
    <row r="12" ht="15.6" customHeight="1">
      <c r="A12" s="198" t="inlineStr">
        <is>
          <t>Stellenbosch</t>
        </is>
      </c>
      <c r="B12" s="200">
        <f>'13 July - 19 July 2020'!D12</f>
        <v/>
      </c>
      <c r="C12" s="73" t="n">
        <v>130324.87</v>
      </c>
      <c r="D12" s="145" t="n">
        <v>49044.45</v>
      </c>
      <c r="E12" s="163">
        <f>IFERROR((SUM(D12-C12)/C12),0)</f>
        <v/>
      </c>
      <c r="F12" s="155">
        <f>IFERROR((SUM(D12-B12)/B12),0)</f>
        <v/>
      </c>
      <c r="G12" s="150" t="n">
        <v>336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2911.09</v>
      </c>
      <c r="L12" s="89">
        <f>SUM(K12/D12)</f>
        <v/>
      </c>
      <c r="M12" s="247">
        <f>SUM(D12-K12)</f>
        <v/>
      </c>
      <c r="N12" s="89">
        <f>SUM(M12/D12)</f>
        <v/>
      </c>
      <c r="O12" s="130" t="n">
        <v>1309</v>
      </c>
      <c r="P12" s="26" t="n"/>
    </row>
    <row r="13" ht="15.6" customHeight="1">
      <c r="A13" s="198" t="inlineStr">
        <is>
          <t>Lynnwood</t>
        </is>
      </c>
      <c r="B13" s="200">
        <f>'13 July - 19 July 2020'!D13</f>
        <v/>
      </c>
      <c r="C13" s="73" t="n">
        <v>212060.52</v>
      </c>
      <c r="D13" s="145" t="n">
        <v>92021.60000000001</v>
      </c>
      <c r="E13" s="163">
        <f>IFERROR((SUM(D13-C13)/C13),0)</f>
        <v/>
      </c>
      <c r="F13" s="155">
        <f>IFERROR((SUM(D13-B13)/B13),0)</f>
        <v/>
      </c>
      <c r="G13" s="150" t="n">
        <v>499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24465.49</v>
      </c>
      <c r="L13" s="89">
        <f>SUM(K13/D13)</f>
        <v/>
      </c>
      <c r="M13" s="247">
        <f>SUM(D13-K13)</f>
        <v/>
      </c>
      <c r="N13" s="89">
        <f>SUM(M13/D13)</f>
        <v/>
      </c>
      <c r="O13" s="130" t="n">
        <v>1413.5</v>
      </c>
      <c r="P13" s="26" t="n"/>
    </row>
    <row r="14" hidden="1" ht="15.6" customHeight="1">
      <c r="A14" s="198" t="inlineStr">
        <is>
          <t>Wellington</t>
        </is>
      </c>
      <c r="B14" s="200">
        <f>'13 July - 19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>
        <f>SUM(D14-K14)</f>
        <v/>
      </c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'13 July - 19 July 2020'!D15</f>
        <v/>
      </c>
      <c r="C15" s="73" t="n">
        <v>129536.18</v>
      </c>
      <c r="D15" s="145" t="n">
        <v>60590.68</v>
      </c>
      <c r="E15" s="163">
        <f>IFERROR((SUM(D15-C15)/C15),0)</f>
        <v/>
      </c>
      <c r="F15" s="155">
        <f>IFERROR((SUM(D15-B15)/B15),0)</f>
        <v/>
      </c>
      <c r="G15" s="150" t="n">
        <v>444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>
        <f>SUM(D15-K15)</f>
        <v/>
      </c>
      <c r="N15" s="89">
        <f>SUM(M15/D15)</f>
        <v/>
      </c>
      <c r="O15" s="130" t="n">
        <v>819.5</v>
      </c>
      <c r="P15" s="9" t="n"/>
    </row>
    <row r="16" ht="15.6" customHeight="1">
      <c r="A16" s="198" t="inlineStr">
        <is>
          <t>Kyalami Corner</t>
        </is>
      </c>
      <c r="B16" s="200">
        <f>'13 July - 19 July 2020'!D16</f>
        <v/>
      </c>
      <c r="C16" s="73" t="n">
        <v>113373.11</v>
      </c>
      <c r="D16" s="145" t="n">
        <v>45783.2</v>
      </c>
      <c r="E16" s="163">
        <f>IFERROR((SUM(D16-C16)/C16),0)</f>
        <v/>
      </c>
      <c r="F16" s="155">
        <f>IFERROR((SUM(D16-B16)/B16),0)</f>
        <v/>
      </c>
      <c r="G16" s="150" t="n">
        <v>275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17138.03</v>
      </c>
      <c r="L16" s="89">
        <f>SUM(K16/D16)</f>
        <v/>
      </c>
      <c r="M16" s="247">
        <f>SUM(D16-K16)</f>
        <v/>
      </c>
      <c r="N16" s="89">
        <f>SUM(M16/D16)</f>
        <v/>
      </c>
      <c r="O16" s="130" t="n">
        <v>1377.5</v>
      </c>
      <c r="P16" s="9" t="n"/>
      <c r="S16" s="238" t="n"/>
    </row>
    <row r="17" ht="15.6" customHeight="1">
      <c r="A17" s="198" t="inlineStr">
        <is>
          <t>Paulshof</t>
        </is>
      </c>
      <c r="B17" s="200">
        <f>'13 July - 19 July 2020'!D17</f>
        <v/>
      </c>
      <c r="C17" s="73" t="n">
        <v>198530.03</v>
      </c>
      <c r="D17" s="145" t="n">
        <v>67673.73</v>
      </c>
      <c r="E17" s="163">
        <f>IFERROR((SUM(D17-C17)/C17),0)</f>
        <v/>
      </c>
      <c r="F17" s="155">
        <f>IFERROR((SUM(D17-B17)/B17),0)</f>
        <v/>
      </c>
      <c r="G17" s="150" t="n">
        <v>430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21540.26</v>
      </c>
      <c r="L17" s="89">
        <f>SUM(K17/D17)</f>
        <v/>
      </c>
      <c r="M17" s="247">
        <f>SUM(D17-K17)</f>
        <v/>
      </c>
      <c r="N17" s="89">
        <f>SUM(M17/D17)</f>
        <v/>
      </c>
      <c r="O17" s="130" t="n">
        <v>2817</v>
      </c>
      <c r="P17" s="9" t="n"/>
    </row>
    <row r="18" ht="15.6" customHeight="1">
      <c r="A18" s="198" t="inlineStr">
        <is>
          <t>Queenswood</t>
        </is>
      </c>
      <c r="B18" s="200">
        <f>'13 July - 19 July 2020'!D18</f>
        <v/>
      </c>
      <c r="C18" s="73" t="n">
        <v>162511.62</v>
      </c>
      <c r="D18" s="145" t="n">
        <v>75274.81</v>
      </c>
      <c r="E18" s="163">
        <f>IFERROR((SUM(D18-C18)/C18),0)</f>
        <v/>
      </c>
      <c r="F18" s="155">
        <f>IFERROR((SUM(D18-B18)/B18),0)</f>
        <v/>
      </c>
      <c r="G18" s="150" t="n">
        <v>391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11679.95</v>
      </c>
      <c r="L18" s="89">
        <f>SUM(K18/D18)</f>
        <v/>
      </c>
      <c r="M18" s="247">
        <f>SUM(D18-K18)</f>
        <v/>
      </c>
      <c r="N18" s="89">
        <f>SUM(M18/D18)</f>
        <v/>
      </c>
      <c r="O18" s="130" t="n">
        <v>920.5</v>
      </c>
      <c r="P18" s="9" t="n"/>
    </row>
    <row r="19" ht="16.2" customHeight="1" thickBot="1">
      <c r="A19" s="203" t="inlineStr">
        <is>
          <t>Centurion</t>
        </is>
      </c>
      <c r="B19" s="201">
        <f>'13 July - 19 July 2020'!D19</f>
        <v/>
      </c>
      <c r="C19" s="205" t="n"/>
      <c r="D19" s="206" t="n">
        <v>39302.01</v>
      </c>
      <c r="E19" s="207">
        <f>IFERROR((SUM(D19-C19)/C19),0)</f>
        <v/>
      </c>
      <c r="F19" s="156">
        <f>IFERROR((SUM(D19-B19)/B19),0)</f>
        <v/>
      </c>
      <c r="G19" s="151" t="n">
        <v>234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13895</v>
      </c>
      <c r="L19" s="116">
        <f>SUM(K19/D19)</f>
        <v/>
      </c>
      <c r="M19" s="248">
        <f>SUM(D19-K19)</f>
        <v/>
      </c>
      <c r="N19" s="116">
        <f>SUM(M19/D19)</f>
        <v/>
      </c>
      <c r="O19" s="134" t="n">
        <v>1340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'20 July - 26 July 2020'!D6</f>
        <v/>
      </c>
      <c r="C6" s="123" t="n">
        <v>261957.32</v>
      </c>
      <c r="D6" s="197" t="n">
        <v>113180.17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14214.13</v>
      </c>
      <c r="L6" s="128">
        <f>SUM(K6/D6)</f>
        <v/>
      </c>
      <c r="M6" s="247" t="n">
        <v>34066.13</v>
      </c>
      <c r="N6" s="128">
        <f>SUM(M6/D6)</f>
        <v/>
      </c>
      <c r="O6" s="129" t="n">
        <v>4441.8</v>
      </c>
      <c r="P6" s="26" t="n"/>
    </row>
    <row r="7" ht="15.6" customHeight="1">
      <c r="A7" s="409" t="inlineStr">
        <is>
          <t>Melrose Arch</t>
        </is>
      </c>
      <c r="B7" s="200">
        <f>'20 July - 26 July 2020'!D7</f>
        <v/>
      </c>
      <c r="C7" s="73" t="n">
        <v>212110.67</v>
      </c>
      <c r="D7" s="145" t="n">
        <v>95683.98</v>
      </c>
      <c r="E7" s="163">
        <f>IFERROR((SUM(D7-C7)/C7),0)</f>
        <v/>
      </c>
      <c r="F7" s="155">
        <f>IFERROR((SUM(D7-B7)/B7),0)</f>
        <v/>
      </c>
      <c r="G7" s="150" t="n">
        <v>400</v>
      </c>
      <c r="H7" s="63">
        <f>IFERROR(D7/G7,0)</f>
        <v/>
      </c>
      <c r="I7" s="61" t="n">
        <v>0</v>
      </c>
      <c r="J7" s="28">
        <f>IFERROR(I7/G7,0)</f>
        <v/>
      </c>
      <c r="K7" s="247" t="n">
        <v>46764.83</v>
      </c>
      <c r="L7" s="89">
        <f>SUM(K7/D7)</f>
        <v/>
      </c>
      <c r="M7" s="247" t="n">
        <v>11483.91</v>
      </c>
      <c r="N7" s="89">
        <f>SUM(M7/D7)</f>
        <v/>
      </c>
      <c r="O7" s="130" t="n">
        <v>1418.95</v>
      </c>
      <c r="P7" s="26" t="n"/>
    </row>
    <row r="8" ht="15.6" customHeight="1">
      <c r="A8" s="409" t="inlineStr">
        <is>
          <t>Melville</t>
        </is>
      </c>
      <c r="B8" s="200">
        <f>'20 July - 26 July 2020'!D8</f>
        <v/>
      </c>
      <c r="C8" s="73" t="n">
        <v>132507.6</v>
      </c>
      <c r="D8" s="145" t="n">
        <v>73006.92</v>
      </c>
      <c r="E8" s="163">
        <f>IFERROR((SUM(D8-C8)/C8),0)</f>
        <v/>
      </c>
      <c r="F8" s="155">
        <f>IFERROR((SUM(D8-B8)/B8),0)</f>
        <v/>
      </c>
      <c r="G8" s="150" t="n">
        <v>332</v>
      </c>
      <c r="H8" s="63">
        <f>IFERROR(D8/G8,0)</f>
        <v/>
      </c>
      <c r="I8" s="61" t="n">
        <v>0</v>
      </c>
      <c r="J8" s="28">
        <f>IFERROR(I8/G8,0)</f>
        <v/>
      </c>
      <c r="K8" s="247" t="n">
        <v>47484.22</v>
      </c>
      <c r="L8" s="89">
        <f>SUM(K8/D8)</f>
        <v/>
      </c>
      <c r="M8" s="247" t="n">
        <v>16366.43</v>
      </c>
      <c r="N8" s="89">
        <f>SUM(M8/D8)</f>
        <v/>
      </c>
      <c r="O8" s="130" t="n">
        <v>444</v>
      </c>
      <c r="P8" s="26" t="n"/>
    </row>
    <row r="9" ht="15.6" customHeight="1">
      <c r="A9" s="409" t="inlineStr">
        <is>
          <t>Rosebank</t>
        </is>
      </c>
      <c r="B9" s="200">
        <f>'20 July - 26 July 2020'!D9</f>
        <v/>
      </c>
      <c r="C9" s="73" t="n">
        <v>347205.66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73">
        <f>'20 July - 26 July 2020'!D10</f>
        <v/>
      </c>
      <c r="C10" s="73" t="n">
        <v>139006.44</v>
      </c>
      <c r="D10" s="145" t="n">
        <v>99765.32000000001</v>
      </c>
      <c r="E10" s="163">
        <f>IFERROR((SUM(D10-C10)/C10),0)</f>
        <v/>
      </c>
      <c r="F10" s="155">
        <f>IFERROR((SUM(D10-B10)/B10),0)</f>
        <v/>
      </c>
      <c r="G10" s="150" t="n">
        <v>359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22158.18</v>
      </c>
      <c r="L10" s="89">
        <f>SUM(K10/D10)</f>
        <v/>
      </c>
      <c r="M10" s="247" t="n">
        <v>40953.19</v>
      </c>
      <c r="N10" s="89">
        <f>SUM(M10/D10)</f>
        <v/>
      </c>
      <c r="O10" s="130" t="n">
        <v>1675</v>
      </c>
      <c r="P10" s="26" t="n"/>
    </row>
    <row r="11" ht="15.6" customHeight="1">
      <c r="A11" s="409" t="inlineStr">
        <is>
          <t>Eagles Landing</t>
        </is>
      </c>
      <c r="B11" s="200">
        <f>'20 July - 26 July 2020'!D11</f>
        <v/>
      </c>
      <c r="C11" s="73" t="n">
        <v>363089.6</v>
      </c>
      <c r="D11" s="145" t="n">
        <v>124064.25</v>
      </c>
      <c r="E11" s="163">
        <f>IFERROR((SUM(D11-C11)/C11),0)</f>
        <v/>
      </c>
      <c r="F11" s="155">
        <f>IFERROR((SUM(D11-B11)/B11),0)</f>
        <v/>
      </c>
      <c r="G11" s="150" t="n">
        <v>520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36113.64</v>
      </c>
      <c r="L11" s="89">
        <f>SUM(K11/D11)</f>
        <v/>
      </c>
      <c r="M11" s="247" t="n">
        <v>38618.48</v>
      </c>
      <c r="N11" s="89">
        <f>SUM(M11/D11)</f>
        <v/>
      </c>
      <c r="O11" s="130" t="n">
        <v>1090</v>
      </c>
      <c r="P11" s="26" t="n"/>
    </row>
    <row r="12" ht="15.6" customHeight="1">
      <c r="A12" s="198" t="inlineStr">
        <is>
          <t>Stellenbosch</t>
        </is>
      </c>
      <c r="B12" s="200">
        <f>'20 July - 26 July 2020'!D12</f>
        <v/>
      </c>
      <c r="C12" s="73" t="n">
        <v>157461.4</v>
      </c>
      <c r="D12" s="145" t="n">
        <v>55893.07</v>
      </c>
      <c r="E12" s="163">
        <f>IFERROR((SUM(D12-C12)/C12),0)</f>
        <v/>
      </c>
      <c r="F12" s="155">
        <f>IFERROR((SUM(D12-B12)/B12),0)</f>
        <v/>
      </c>
      <c r="G12" s="150" t="n">
        <v>245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9283.17</v>
      </c>
      <c r="L12" s="89">
        <f>SUM(K12/D12)</f>
        <v/>
      </c>
      <c r="M12" s="247" t="n">
        <v>14811.7</v>
      </c>
      <c r="N12" s="89">
        <f>SUM(M12/D12)</f>
        <v/>
      </c>
      <c r="O12" s="130" t="n">
        <v>504</v>
      </c>
      <c r="P12" s="26" t="n"/>
    </row>
    <row r="13" ht="15.6" customHeight="1">
      <c r="A13" s="198" t="inlineStr">
        <is>
          <t>Lynnwood</t>
        </is>
      </c>
      <c r="B13" s="200">
        <f>'20 July - 26 July 2020'!D13</f>
        <v/>
      </c>
      <c r="C13" s="73" t="n">
        <v>216093.02</v>
      </c>
      <c r="D13" s="145" t="n">
        <v>115238.2</v>
      </c>
      <c r="E13" s="163">
        <f>IFERROR((SUM(D13-C13)/C13),0)</f>
        <v/>
      </c>
      <c r="F13" s="155">
        <f>IFERROR((SUM(D13-B13)/B13),0)</f>
        <v/>
      </c>
      <c r="G13" s="150" t="n">
        <v>460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9802</v>
      </c>
      <c r="L13" s="89">
        <f>SUM(K13/D13)</f>
        <v/>
      </c>
      <c r="M13" s="247" t="n">
        <v>55229.3</v>
      </c>
      <c r="N13" s="89">
        <f>SUM(M13/D13)</f>
        <v/>
      </c>
      <c r="O13" s="130" t="n">
        <v>709.5</v>
      </c>
      <c r="P13" s="26" t="n"/>
    </row>
    <row r="14" hidden="1" ht="15.6" customHeight="1">
      <c r="A14" s="198" t="inlineStr">
        <is>
          <t>Wellington</t>
        </is>
      </c>
      <c r="B14" s="200">
        <f>'20 July - 26 July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'20 July - 26 July 2020'!D15</f>
        <v/>
      </c>
      <c r="C15" s="73" t="n">
        <v>138311.25</v>
      </c>
      <c r="D15" s="145" t="n">
        <v>79999.16</v>
      </c>
      <c r="E15" s="163">
        <f>IFERROR((SUM(D15-C15)/C15),0)</f>
        <v/>
      </c>
      <c r="F15" s="155">
        <f>IFERROR((SUM(D15-B15)/B15),0)</f>
        <v/>
      </c>
      <c r="G15" s="150" t="n">
        <v>313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15073.48</v>
      </c>
      <c r="N15" s="89">
        <f>SUM(M15/D15)</f>
        <v/>
      </c>
      <c r="O15" s="130" t="n">
        <v>1125</v>
      </c>
      <c r="P15" s="9" t="n"/>
    </row>
    <row r="16" ht="15.6" customHeight="1">
      <c r="A16" s="198" t="inlineStr">
        <is>
          <t>Kyalami Corner</t>
        </is>
      </c>
      <c r="B16" s="200">
        <f>'20 July - 26 July 2020'!D16</f>
        <v/>
      </c>
      <c r="C16" s="73" t="n">
        <v>126564.93</v>
      </c>
      <c r="D16" s="145" t="n">
        <v>62056.69</v>
      </c>
      <c r="E16" s="163">
        <f>IFERROR((SUM(D16-C16)/C16),0)</f>
        <v/>
      </c>
      <c r="F16" s="155">
        <f>IFERROR((SUM(D16-B16)/B16),0)</f>
        <v/>
      </c>
      <c r="G16" s="150" t="n">
        <v>285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25550.82</v>
      </c>
      <c r="L16" s="89">
        <f>SUM(K16/D16)</f>
        <v/>
      </c>
      <c r="M16" s="247" t="n">
        <v>20865.78</v>
      </c>
      <c r="N16" s="89">
        <f>SUM(M16/D16)</f>
        <v/>
      </c>
      <c r="O16" s="130" t="n">
        <v>1739</v>
      </c>
      <c r="P16" s="9" t="n"/>
      <c r="S16" s="238" t="n"/>
    </row>
    <row r="17" ht="15.6" customHeight="1">
      <c r="A17" s="251" t="inlineStr">
        <is>
          <t>Paulshof</t>
        </is>
      </c>
      <c r="B17" s="73">
        <f>'20 July - 26 July 2020'!D17</f>
        <v/>
      </c>
      <c r="C17" s="73" t="n">
        <v>214731.95</v>
      </c>
      <c r="D17" s="145" t="n">
        <v>92644.31</v>
      </c>
      <c r="E17" s="163">
        <f>IFERROR((SUM(D17-C17)/C17),0)</f>
        <v/>
      </c>
      <c r="F17" s="155">
        <f>IFERROR((SUM(D17-B17)/B17),0)</f>
        <v/>
      </c>
      <c r="G17" s="150" t="n">
        <v>385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31551.35</v>
      </c>
      <c r="L17" s="89">
        <f>SUM(K17/D17)</f>
        <v/>
      </c>
      <c r="M17" s="247" t="n">
        <v>30142.52</v>
      </c>
      <c r="N17" s="89">
        <f>SUM(M17/D17)</f>
        <v/>
      </c>
      <c r="O17" s="130" t="n">
        <v>1241</v>
      </c>
      <c r="P17" s="9" t="n"/>
    </row>
    <row r="18" ht="15.6" customHeight="1">
      <c r="A18" s="198" t="inlineStr">
        <is>
          <t>Queenswood</t>
        </is>
      </c>
      <c r="B18" s="200">
        <f>'20 July - 26 July 2020'!D18</f>
        <v/>
      </c>
      <c r="C18" s="73" t="n">
        <v>162603.09</v>
      </c>
      <c r="D18" s="145" t="n">
        <v>75120.53</v>
      </c>
      <c r="E18" s="163">
        <f>IFERROR((SUM(D18-C18)/C18),0)</f>
        <v/>
      </c>
      <c r="F18" s="155">
        <f>IFERROR((SUM(D18-B18)/B18),0)</f>
        <v/>
      </c>
      <c r="G18" s="150" t="n">
        <v>339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21151.63</v>
      </c>
      <c r="L18" s="89">
        <f>SUM(K18/D18)</f>
        <v/>
      </c>
      <c r="M18" s="247" t="n">
        <v>19399.87</v>
      </c>
      <c r="N18" s="89">
        <f>SUM(M18/D18)</f>
        <v/>
      </c>
      <c r="O18" s="130" t="n">
        <v>882.1</v>
      </c>
      <c r="P18" s="9" t="n"/>
    </row>
    <row r="19" ht="16.2" customHeight="1" thickBot="1">
      <c r="A19" s="203" t="inlineStr">
        <is>
          <t>Centurion</t>
        </is>
      </c>
      <c r="B19" s="201">
        <f>'20 July - 26 July 2020'!D19</f>
        <v/>
      </c>
      <c r="C19" s="205" t="n"/>
      <c r="D19" s="206" t="n">
        <v>62483.34</v>
      </c>
      <c r="E19" s="207">
        <f>IFERROR((SUM(D19-C19)/C19),0)</f>
        <v/>
      </c>
      <c r="F19" s="156">
        <f>IFERROR((SUM(D19-B19)/B19),0)</f>
        <v/>
      </c>
      <c r="G19" s="151" t="n">
        <v>262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9639.389999999999</v>
      </c>
      <c r="L19" s="116">
        <f>SUM(K19/D19)</f>
        <v/>
      </c>
      <c r="M19" s="248" t="n">
        <v>32367.52</v>
      </c>
      <c r="N19" s="116">
        <f>SUM(M19/D19)</f>
        <v/>
      </c>
      <c r="O19" s="134" t="n">
        <v>1585.6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'27 July - 2 August 2020'!D6</f>
        <v/>
      </c>
      <c r="C6" s="123" t="n">
        <v>267972.63</v>
      </c>
      <c r="D6" s="197" t="n">
        <v>112106.32</v>
      </c>
      <c r="E6" s="162">
        <f>IFERROR((SUM(D6-C6)/C6),0)</f>
        <v/>
      </c>
      <c r="F6" s="154">
        <f>IFERROR((SUM(D6-B6)/B6),0)</f>
        <v/>
      </c>
      <c r="G6" s="149" t="n">
        <v>445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9984.219999999999</v>
      </c>
      <c r="L6" s="128">
        <f>SUM(K6/D6)</f>
        <v/>
      </c>
      <c r="M6" s="247" t="n">
        <v>34719.22</v>
      </c>
      <c r="N6" s="128">
        <f>SUM(M6/D6)</f>
        <v/>
      </c>
      <c r="O6" s="129" t="n">
        <v>2490.95</v>
      </c>
      <c r="P6" s="26" t="n"/>
    </row>
    <row r="7" ht="15.6" customHeight="1">
      <c r="A7" s="409" t="inlineStr">
        <is>
          <t>Melrose Arch</t>
        </is>
      </c>
      <c r="B7" s="200">
        <f>'27 July - 2 August 2020'!D7</f>
        <v/>
      </c>
      <c r="C7" s="73" t="n">
        <v>215625.05</v>
      </c>
      <c r="D7" s="145" t="n">
        <v>88114</v>
      </c>
      <c r="E7" s="163">
        <f>IFERROR((SUM(D7-C7)/C7),0)</f>
        <v/>
      </c>
      <c r="F7" s="155">
        <f>IFERROR((SUM(D7-B7)/B7),0)</f>
        <v/>
      </c>
      <c r="G7" s="150" t="n">
        <v>364</v>
      </c>
      <c r="H7" s="63">
        <f>IFERROR(D7/G7,0)</f>
        <v/>
      </c>
      <c r="I7" s="61" t="n">
        <v>0</v>
      </c>
      <c r="J7" s="28">
        <f>IFERROR(I7/G7,0)</f>
        <v/>
      </c>
      <c r="K7" s="247" t="n">
        <v>30396.14</v>
      </c>
      <c r="L7" s="89">
        <f>SUM(K7/D7)</f>
        <v/>
      </c>
      <c r="M7" s="247" t="n">
        <v>16021.99</v>
      </c>
      <c r="N7" s="89">
        <f>SUM(M7/D7)</f>
        <v/>
      </c>
      <c r="O7" s="130" t="n">
        <v>1105.2</v>
      </c>
      <c r="P7" s="26" t="n"/>
    </row>
    <row r="8" ht="15.6" customHeight="1">
      <c r="A8" s="409" t="inlineStr">
        <is>
          <t>Melville</t>
        </is>
      </c>
      <c r="B8" s="200">
        <f>'27 July - 2 August 2020'!D8</f>
        <v/>
      </c>
      <c r="C8" s="73" t="n">
        <v>103484.13</v>
      </c>
      <c r="D8" s="145" t="n">
        <v>61802.85</v>
      </c>
      <c r="E8" s="163">
        <f>IFERROR((SUM(D8-C8)/C8),0)</f>
        <v/>
      </c>
      <c r="F8" s="155">
        <f>IFERROR((SUM(D8-B8)/B8),0)</f>
        <v/>
      </c>
      <c r="G8" s="150" t="n">
        <v>300</v>
      </c>
      <c r="H8" s="63">
        <f>IFERROR(D8/G8,0)</f>
        <v/>
      </c>
      <c r="I8" s="61" t="n">
        <v>0</v>
      </c>
      <c r="J8" s="28">
        <f>IFERROR(I8/G8,0)</f>
        <v/>
      </c>
      <c r="K8" s="247" t="n">
        <v>30667.38</v>
      </c>
      <c r="L8" s="89">
        <f>SUM(K8/D8)</f>
        <v/>
      </c>
      <c r="M8" s="247" t="n">
        <v>17058.48</v>
      </c>
      <c r="N8" s="89">
        <f>SUM(M8/D8)</f>
        <v/>
      </c>
      <c r="O8" s="130" t="n">
        <v>840.4</v>
      </c>
      <c r="P8" s="26" t="n"/>
    </row>
    <row r="9" ht="15.6" customHeight="1">
      <c r="A9" s="409" t="inlineStr">
        <is>
          <t>Rosebank</t>
        </is>
      </c>
      <c r="B9" s="200">
        <f>'27 July - 2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'27 July - 2 August 2020'!D10</f>
        <v/>
      </c>
      <c r="C10" s="73" t="n">
        <v>126339</v>
      </c>
      <c r="D10" s="145" t="n">
        <v>97609.38</v>
      </c>
      <c r="E10" s="163">
        <f>IFERROR((SUM(D10-C10)/C10),0)</f>
        <v/>
      </c>
      <c r="F10" s="155">
        <f>IFERROR((SUM(D10-B10)/B10),0)</f>
        <v/>
      </c>
      <c r="G10" s="150" t="n">
        <v>384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37318.3</v>
      </c>
      <c r="L10" s="89">
        <f>SUM(K10/D10)</f>
        <v/>
      </c>
      <c r="M10" s="247" t="n">
        <v>26408.39</v>
      </c>
      <c r="N10" s="89">
        <f>SUM(M10/D10)</f>
        <v/>
      </c>
      <c r="O10" s="130" t="n">
        <v>2039.99</v>
      </c>
      <c r="P10" s="26" t="n"/>
    </row>
    <row r="11" ht="15.6" customHeight="1">
      <c r="A11" s="409" t="inlineStr">
        <is>
          <t>Eagles Landing</t>
        </is>
      </c>
      <c r="B11" s="200">
        <f>'27 July - 2 August 2020'!D11</f>
        <v/>
      </c>
      <c r="C11" s="73" t="n">
        <v>313954.43</v>
      </c>
      <c r="D11" s="145" t="n">
        <v>140006.55</v>
      </c>
      <c r="E11" s="163">
        <f>IFERROR((SUM(D11-C11)/C11),0)</f>
        <v/>
      </c>
      <c r="F11" s="155">
        <f>IFERROR((SUM(D11-B11)/B11),0)</f>
        <v/>
      </c>
      <c r="G11" s="150" t="n">
        <v>618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29018.17</v>
      </c>
      <c r="L11" s="89">
        <f>SUM(K11/D11)</f>
        <v/>
      </c>
      <c r="M11" s="247" t="n">
        <v>33421.61</v>
      </c>
      <c r="N11" s="89">
        <f>SUM(M11/D11)</f>
        <v/>
      </c>
      <c r="O11" s="130" t="n">
        <v>1817</v>
      </c>
      <c r="P11" s="26" t="n"/>
    </row>
    <row r="12" ht="15.6" customHeight="1">
      <c r="A12" s="198" t="inlineStr">
        <is>
          <t>Stellenbosch</t>
        </is>
      </c>
      <c r="B12" s="200">
        <f>'27 July - 2 August 2020'!D12</f>
        <v/>
      </c>
      <c r="C12" s="73" t="n">
        <v>120679.88</v>
      </c>
      <c r="D12" s="145" t="n">
        <v>55535.83</v>
      </c>
      <c r="E12" s="163">
        <f>IFERROR((SUM(D12-C12)/C12),0)</f>
        <v/>
      </c>
      <c r="F12" s="155">
        <f>IFERROR((SUM(D12-B12)/B12),0)</f>
        <v/>
      </c>
      <c r="G12" s="150" t="n">
        <v>222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9743.91</v>
      </c>
      <c r="L12" s="89">
        <f>SUM(K12/D12)</f>
        <v/>
      </c>
      <c r="M12" s="247" t="n">
        <v>18080.13</v>
      </c>
      <c r="N12" s="89">
        <f>SUM(M12/D12)</f>
        <v/>
      </c>
      <c r="O12" s="130" t="n">
        <v>764</v>
      </c>
      <c r="P12" s="26" t="n"/>
    </row>
    <row r="13" ht="15.6" customHeight="1">
      <c r="A13" s="198" t="inlineStr">
        <is>
          <t>Lynnwood</t>
        </is>
      </c>
      <c r="B13" s="200">
        <f>'27 July - 2 August 2020'!D13</f>
        <v/>
      </c>
      <c r="C13" s="73" t="n">
        <v>210396.93</v>
      </c>
      <c r="D13" s="145" t="n">
        <v>98860.87</v>
      </c>
      <c r="E13" s="163">
        <f>IFERROR((SUM(D13-C13)/C13),0)</f>
        <v/>
      </c>
      <c r="F13" s="155">
        <f>IFERROR((SUM(D13-B13)/B13),0)</f>
        <v/>
      </c>
      <c r="G13" s="150" t="n">
        <v>429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22338.96</v>
      </c>
      <c r="L13" s="89">
        <f>SUM(K13/D13)</f>
        <v/>
      </c>
      <c r="M13" s="247" t="n">
        <v>35320.74</v>
      </c>
      <c r="N13" s="89">
        <f>SUM(M13/D13)</f>
        <v/>
      </c>
      <c r="O13" s="130" t="n">
        <v>1518</v>
      </c>
      <c r="P13" s="26" t="n"/>
    </row>
    <row r="14" hidden="1" ht="15.6" customHeight="1">
      <c r="A14" s="198" t="inlineStr">
        <is>
          <t>Wellington</t>
        </is>
      </c>
      <c r="B14" s="200">
        <f>'27 July - 2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'27 July - 2 August 2020'!D15</f>
        <v/>
      </c>
      <c r="C15" s="73" t="n">
        <v>182706.98</v>
      </c>
      <c r="D15" s="145" t="n">
        <v>107151.8</v>
      </c>
      <c r="E15" s="163">
        <f>IFERROR((SUM(D15-C15)/C15),0)</f>
        <v/>
      </c>
      <c r="F15" s="155">
        <f>IFERROR((SUM(D15-B15)/B15),0)</f>
        <v/>
      </c>
      <c r="G15" s="150" t="n">
        <v>393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19804.35</v>
      </c>
      <c r="N15" s="89">
        <f>SUM(M15/D15)</f>
        <v/>
      </c>
      <c r="O15" s="130" t="n">
        <v>1105</v>
      </c>
      <c r="P15" s="9" t="n"/>
    </row>
    <row r="16" ht="15.6" customHeight="1">
      <c r="A16" s="198" t="inlineStr">
        <is>
          <t>Kyalami Corner</t>
        </is>
      </c>
      <c r="B16" s="200">
        <f>'27 July - 2 August 2020'!D16</f>
        <v/>
      </c>
      <c r="C16" s="73" t="n">
        <v>123420.75</v>
      </c>
      <c r="D16" s="145" t="n">
        <v>56624.28</v>
      </c>
      <c r="E16" s="163">
        <f>IFERROR((SUM(D16-C16)/C16),0)</f>
        <v/>
      </c>
      <c r="F16" s="155">
        <f>IFERROR((SUM(D16-B16)/B16),0)</f>
        <v/>
      </c>
      <c r="G16" s="150" t="n">
        <v>255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21998.39</v>
      </c>
      <c r="L16" s="89">
        <f>SUM(K16/D16)</f>
        <v/>
      </c>
      <c r="M16" s="247" t="n">
        <v>16857.13</v>
      </c>
      <c r="N16" s="89">
        <f>SUM(M16/D16)</f>
        <v/>
      </c>
      <c r="O16" s="130" t="n">
        <v>1848.5</v>
      </c>
      <c r="P16" s="9" t="n"/>
      <c r="S16" s="238" t="n"/>
    </row>
    <row r="17" ht="15.6" customHeight="1">
      <c r="A17" s="251" t="inlineStr">
        <is>
          <t>Paulshof</t>
        </is>
      </c>
      <c r="B17" s="200">
        <f>'27 July - 2 August 2020'!D17</f>
        <v/>
      </c>
      <c r="C17" s="73" t="n">
        <v>198462.73</v>
      </c>
      <c r="D17" s="145" t="n">
        <v>83224.03999999999</v>
      </c>
      <c r="E17" s="163">
        <f>IFERROR((SUM(D17-C17)/C17),0)</f>
        <v/>
      </c>
      <c r="F17" s="155">
        <f>IFERROR((SUM(D17-B17)/B17),0)</f>
        <v/>
      </c>
      <c r="G17" s="150" t="n">
        <v>387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15097.26</v>
      </c>
      <c r="L17" s="89">
        <f>SUM(K17/D17)</f>
        <v/>
      </c>
      <c r="M17" s="247" t="n">
        <v>32633.17</v>
      </c>
      <c r="N17" s="89">
        <f>SUM(M17/D17)</f>
        <v/>
      </c>
      <c r="O17" s="130" t="n">
        <v>1203</v>
      </c>
      <c r="P17" s="9" t="n"/>
    </row>
    <row r="18" ht="15.6" customHeight="1">
      <c r="A18" s="198" t="inlineStr">
        <is>
          <t>Queenswood</t>
        </is>
      </c>
      <c r="B18" s="200">
        <f>'27 July - 2 August 2020'!D18</f>
        <v/>
      </c>
      <c r="C18" s="73" t="n">
        <v>143407</v>
      </c>
      <c r="D18" s="145" t="n">
        <v>69905.84</v>
      </c>
      <c r="E18" s="163">
        <f>IFERROR((SUM(D18-C18)/C18),0)</f>
        <v/>
      </c>
      <c r="F18" s="155">
        <f>IFERROR((SUM(D18-B18)/B18),0)</f>
        <v/>
      </c>
      <c r="G18" s="150" t="n">
        <v>307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12748.13</v>
      </c>
      <c r="L18" s="89">
        <f>SUM(K18/D18)</f>
        <v/>
      </c>
      <c r="M18" s="247" t="n">
        <v>23102.43</v>
      </c>
      <c r="N18" s="89">
        <f>SUM(M18/D18)</f>
        <v/>
      </c>
      <c r="O18" s="130" t="n">
        <v>2835</v>
      </c>
      <c r="P18" s="9" t="n"/>
    </row>
    <row r="19" ht="16.2" customHeight="1" thickBot="1">
      <c r="A19" s="203" t="inlineStr">
        <is>
          <t>Centurion</t>
        </is>
      </c>
      <c r="B19" s="201">
        <f>'27 July - 2 August 2020'!D19</f>
        <v/>
      </c>
      <c r="C19" s="205" t="n"/>
      <c r="D19" s="206" t="n">
        <v>50010.15</v>
      </c>
      <c r="E19" s="207">
        <f>IFERROR((SUM(D19-C19)/C19),0)</f>
        <v/>
      </c>
      <c r="F19" s="156">
        <f>IFERROR((SUM(D19-B19)/B19),0)</f>
        <v/>
      </c>
      <c r="G19" s="151" t="n">
        <v>228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16030.39</v>
      </c>
      <c r="L19" s="116">
        <f>SUM(K19/D19)</f>
        <v/>
      </c>
      <c r="M19" s="248" t="n">
        <v>12326.17</v>
      </c>
      <c r="N19" s="116">
        <f>SUM(M19/D19)</f>
        <v/>
      </c>
      <c r="O19" s="134" t="n">
        <v>1582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'3 August - 9 August 2020'!D6</f>
        <v/>
      </c>
      <c r="C6" s="123" t="n">
        <v>222616.58</v>
      </c>
      <c r="D6" s="197" t="n">
        <v>145715.87</v>
      </c>
      <c r="E6" s="162">
        <f>IFERROR((SUM(D6-C6)/C6),0)</f>
        <v/>
      </c>
      <c r="F6" s="154">
        <f>IFERROR((SUM(D6-B6)/B6),0)</f>
        <v/>
      </c>
      <c r="G6" s="149" t="n">
        <v>545</v>
      </c>
      <c r="H6" s="124">
        <f>IFERROR(D6/G6,0)</f>
        <v/>
      </c>
      <c r="I6" s="125" t="n">
        <v>0</v>
      </c>
      <c r="J6" s="126">
        <f>IFERROR(I6/G6,0)</f>
        <v/>
      </c>
      <c r="K6" s="246" t="n">
        <v>12328.52</v>
      </c>
      <c r="L6" s="128">
        <f>SUM(K6/D6)</f>
        <v/>
      </c>
      <c r="M6" s="247" t="n">
        <v>50450.26</v>
      </c>
      <c r="N6" s="128">
        <f>SUM(M6/D6)</f>
        <v/>
      </c>
      <c r="O6" s="129" t="n">
        <v>2942</v>
      </c>
      <c r="P6" s="26" t="n"/>
    </row>
    <row r="7" ht="15.6" customHeight="1">
      <c r="A7" s="409" t="inlineStr">
        <is>
          <t>Melrose Arch</t>
        </is>
      </c>
      <c r="B7" s="200">
        <f>'3 August - 9 August 2020'!D7</f>
        <v/>
      </c>
      <c r="C7" s="73" t="n">
        <v>197449.78</v>
      </c>
      <c r="D7" s="145" t="n">
        <v>95568.74000000001</v>
      </c>
      <c r="E7" s="163">
        <f>IFERROR((SUM(D7-C7)/C7),0)</f>
        <v/>
      </c>
      <c r="F7" s="155">
        <f>IFERROR((SUM(D7-B7)/B7),0)</f>
        <v/>
      </c>
      <c r="G7" s="150" t="n">
        <v>410</v>
      </c>
      <c r="H7" s="63">
        <f>IFERROR(D7/G7,0)</f>
        <v/>
      </c>
      <c r="I7" s="61" t="n">
        <v>0</v>
      </c>
      <c r="J7" s="28">
        <f>IFERROR(I7/G7,0)</f>
        <v/>
      </c>
      <c r="K7" s="247" t="n">
        <v>33999.84</v>
      </c>
      <c r="L7" s="89">
        <f>SUM(K7/D7)</f>
        <v/>
      </c>
      <c r="M7" s="247" t="n">
        <v>14704.51</v>
      </c>
      <c r="N7" s="89">
        <f>SUM(M7/D7)</f>
        <v/>
      </c>
      <c r="O7" s="130" t="n">
        <v>2468.45</v>
      </c>
      <c r="P7" s="26" t="n"/>
    </row>
    <row r="8" ht="15.6" customHeight="1">
      <c r="A8" s="409" t="inlineStr">
        <is>
          <t>Melville</t>
        </is>
      </c>
      <c r="B8" s="200">
        <f>'3 August - 9 August 2020'!D8</f>
        <v/>
      </c>
      <c r="C8" s="73" t="n">
        <v>78509.75</v>
      </c>
      <c r="D8" s="145" t="n">
        <v>70400.77</v>
      </c>
      <c r="E8" s="163">
        <f>IFERROR((SUM(D8-C8)/C8),0)</f>
        <v/>
      </c>
      <c r="F8" s="155">
        <f>IFERROR((SUM(D8-B8)/B8),0)</f>
        <v/>
      </c>
      <c r="G8" s="150" t="n">
        <v>327</v>
      </c>
      <c r="H8" s="63">
        <f>IFERROR(D8/G8,0)</f>
        <v/>
      </c>
      <c r="I8" s="61" t="n">
        <v>0</v>
      </c>
      <c r="J8" s="28">
        <f>IFERROR(I8/G8,0)</f>
        <v/>
      </c>
      <c r="K8" s="247" t="n">
        <v>37447.3</v>
      </c>
      <c r="L8" s="89">
        <f>SUM(K8/D8)</f>
        <v/>
      </c>
      <c r="M8" s="247" t="n">
        <v>18066.87</v>
      </c>
      <c r="N8" s="89">
        <f>SUM(M8/D8)</f>
        <v/>
      </c>
      <c r="O8" s="130" t="n">
        <v>982</v>
      </c>
      <c r="P8" s="26" t="n"/>
    </row>
    <row r="9" ht="15.6" customHeight="1">
      <c r="A9" s="409" t="inlineStr">
        <is>
          <t>Rosebank</t>
        </is>
      </c>
      <c r="B9" s="200">
        <f>'3 August - 9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'3 August - 9 August 2020'!D10</f>
        <v/>
      </c>
      <c r="C10" s="73" t="n">
        <v>154333.15</v>
      </c>
      <c r="D10" s="145" t="n">
        <v>110791.55</v>
      </c>
      <c r="E10" s="163">
        <f>IFERROR((SUM(D10-C10)/C10),0)</f>
        <v/>
      </c>
      <c r="F10" s="155">
        <f>IFERROR((SUM(D10-B10)/B10),0)</f>
        <v/>
      </c>
      <c r="G10" s="150" t="n">
        <v>417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22295.44</v>
      </c>
      <c r="L10" s="89">
        <f>SUM(K10/D10)</f>
        <v/>
      </c>
      <c r="M10" s="247" t="n">
        <v>40394.55</v>
      </c>
      <c r="N10" s="89">
        <f>SUM(M10/D10)</f>
        <v/>
      </c>
      <c r="O10" s="130" t="n">
        <v>2150.45</v>
      </c>
      <c r="P10" s="26" t="n"/>
    </row>
    <row r="11" ht="15.6" customHeight="1">
      <c r="A11" s="409" t="inlineStr">
        <is>
          <t>Eagles Landing</t>
        </is>
      </c>
      <c r="B11" s="200">
        <f>'3 August - 9 August 2020'!D11</f>
        <v/>
      </c>
      <c r="C11" s="73" t="n">
        <v>351899.09</v>
      </c>
      <c r="D11" s="145" t="n">
        <v>149185.19</v>
      </c>
      <c r="E11" s="163">
        <f>IFERROR((SUM(D11-C11)/C11),0)</f>
        <v/>
      </c>
      <c r="F11" s="155">
        <f>IFERROR((SUM(D11-B11)/B11),0)</f>
        <v/>
      </c>
      <c r="G11" s="150" t="n">
        <v>647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38383.31</v>
      </c>
      <c r="L11" s="89">
        <f>SUM(K11/D11)</f>
        <v/>
      </c>
      <c r="M11" s="247" t="n">
        <v>28988.21</v>
      </c>
      <c r="N11" s="89">
        <f>SUM(M11/D11)</f>
        <v/>
      </c>
      <c r="O11" s="130" t="n">
        <v>1897.99</v>
      </c>
      <c r="P11" s="26" t="n"/>
    </row>
    <row r="12" ht="15.6" customHeight="1">
      <c r="A12" s="198" t="inlineStr">
        <is>
          <t>Stellenbosch</t>
        </is>
      </c>
      <c r="B12" s="200">
        <f>'3 August - 9 August 2020'!D12</f>
        <v/>
      </c>
      <c r="C12" s="73" t="n">
        <v>158515.24</v>
      </c>
      <c r="D12" s="145" t="n">
        <v>58499.72</v>
      </c>
      <c r="E12" s="163">
        <f>IFERROR((SUM(D12-C12)/C12),0)</f>
        <v/>
      </c>
      <c r="F12" s="155">
        <f>IFERROR((SUM(D12-B12)/B12),0)</f>
        <v/>
      </c>
      <c r="G12" s="150" t="n">
        <v>219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5838.26</v>
      </c>
      <c r="L12" s="89">
        <f>SUM(K12/D12)</f>
        <v/>
      </c>
      <c r="M12" s="247" t="n">
        <v>17734.51</v>
      </c>
      <c r="N12" s="89">
        <f>SUM(M12/D12)</f>
        <v/>
      </c>
      <c r="O12" s="130" t="n">
        <v>633</v>
      </c>
      <c r="P12" s="26" t="n"/>
    </row>
    <row r="13" ht="15.6" customHeight="1">
      <c r="A13" s="198" t="inlineStr">
        <is>
          <t>Lynnwood</t>
        </is>
      </c>
      <c r="B13" s="200">
        <f>'3 August - 9 August 2020'!D13</f>
        <v/>
      </c>
      <c r="C13" s="73" t="n">
        <v>217294.08</v>
      </c>
      <c r="D13" s="145" t="n">
        <v>114003.83</v>
      </c>
      <c r="E13" s="163">
        <f>IFERROR((SUM(D13-C13)/C13),0)</f>
        <v/>
      </c>
      <c r="F13" s="155">
        <f>IFERROR((SUM(D13-B13)/B13),0)</f>
        <v/>
      </c>
      <c r="G13" s="150" t="n">
        <v>462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22467.34</v>
      </c>
      <c r="L13" s="89">
        <f>SUM(K13/D13)</f>
        <v/>
      </c>
      <c r="M13" s="247" t="n">
        <v>34951.57</v>
      </c>
      <c r="N13" s="89">
        <f>SUM(M13/D13)</f>
        <v/>
      </c>
      <c r="O13" s="130" t="n">
        <v>2959</v>
      </c>
      <c r="P13" s="26" t="n"/>
    </row>
    <row r="14" hidden="1" ht="15.6" customHeight="1">
      <c r="A14" s="198" t="inlineStr">
        <is>
          <t>Wellington</t>
        </is>
      </c>
      <c r="B14" s="200">
        <f>'3 August - 9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'3 August - 9 August 2020'!D15</f>
        <v/>
      </c>
      <c r="C15" s="73" t="n">
        <v>149035.45</v>
      </c>
      <c r="D15" s="145" t="n">
        <v>81421.25999999999</v>
      </c>
      <c r="E15" s="163">
        <f>IFERROR((SUM(D15-C15)/C15),0)</f>
        <v/>
      </c>
      <c r="F15" s="155">
        <f>IFERROR((SUM(D15-B15)/B15),0)</f>
        <v/>
      </c>
      <c r="G15" s="150" t="n">
        <v>315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10982.17</v>
      </c>
      <c r="N15" s="89">
        <f>SUM(M15/D15)</f>
        <v/>
      </c>
      <c r="O15" s="130" t="n">
        <v>881.5</v>
      </c>
      <c r="P15" s="9" t="n"/>
    </row>
    <row r="16" ht="15.6" customHeight="1">
      <c r="A16" s="198" t="inlineStr">
        <is>
          <t>Kyalami Corner</t>
        </is>
      </c>
      <c r="B16" s="200">
        <f>'3 August - 9 August 2020'!D16</f>
        <v/>
      </c>
      <c r="C16" s="73" t="n">
        <v>119169.43</v>
      </c>
      <c r="D16" s="145" t="n">
        <v>81736.92</v>
      </c>
      <c r="E16" s="163">
        <f>IFERROR((SUM(D16-C16)/C16),0)</f>
        <v/>
      </c>
      <c r="F16" s="155">
        <f>IFERROR((SUM(D16-B16)/B16),0)</f>
        <v/>
      </c>
      <c r="G16" s="150" t="n">
        <v>346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32738.01</v>
      </c>
      <c r="L16" s="89">
        <f>SUM(K16/D16)</f>
        <v/>
      </c>
      <c r="M16" s="247" t="n">
        <v>17538.3</v>
      </c>
      <c r="N16" s="89">
        <f>SUM(M16/D16)</f>
        <v/>
      </c>
      <c r="O16" s="130" t="n">
        <v>2189.5</v>
      </c>
      <c r="P16" s="9" t="n"/>
      <c r="S16" s="238" t="n"/>
    </row>
    <row r="17" ht="15.6" customHeight="1">
      <c r="A17" s="251" t="inlineStr">
        <is>
          <t>Paulshof</t>
        </is>
      </c>
      <c r="B17" s="200">
        <f>'3 August - 9 August 2020'!D17</f>
        <v/>
      </c>
      <c r="C17" s="73" t="n">
        <v>209337.65</v>
      </c>
      <c r="D17" s="145" t="n">
        <v>98739.67</v>
      </c>
      <c r="E17" s="163">
        <f>IFERROR((SUM(D17-C17)/C17),0)</f>
        <v/>
      </c>
      <c r="F17" s="155">
        <f>IFERROR((SUM(D17-B17)/B17),0)</f>
        <v/>
      </c>
      <c r="G17" s="150" t="n">
        <v>389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16941.61</v>
      </c>
      <c r="L17" s="89">
        <f>SUM(K17/D17)</f>
        <v/>
      </c>
      <c r="M17" s="247" t="n">
        <v>23127.13</v>
      </c>
      <c r="N17" s="89">
        <f>SUM(M17/D17)</f>
        <v/>
      </c>
      <c r="O17" s="130" t="n">
        <v>2590.5</v>
      </c>
      <c r="P17" s="9" t="n"/>
    </row>
    <row r="18" ht="15.6" customHeight="1">
      <c r="A18" s="198" t="inlineStr">
        <is>
          <t>Queenswood</t>
        </is>
      </c>
      <c r="B18" s="200">
        <f>'3 August - 9 August 2020'!D18</f>
        <v/>
      </c>
      <c r="C18" s="73" t="n">
        <v>147869.29</v>
      </c>
      <c r="D18" s="145" t="n">
        <v>90858.2</v>
      </c>
      <c r="E18" s="163">
        <f>IFERROR((SUM(D18-C18)/C18),0)</f>
        <v/>
      </c>
      <c r="F18" s="155">
        <f>IFERROR((SUM(D18-B18)/B18),0)</f>
        <v/>
      </c>
      <c r="G18" s="150" t="n">
        <v>386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17820.86</v>
      </c>
      <c r="L18" s="89">
        <f>SUM(K18/D18)</f>
        <v/>
      </c>
      <c r="M18" s="247" t="n">
        <v>24762.35</v>
      </c>
      <c r="N18" s="89">
        <f>SUM(M18/D18)</f>
        <v/>
      </c>
      <c r="O18" s="130" t="n">
        <v>1557</v>
      </c>
      <c r="P18" s="9" t="n"/>
    </row>
    <row r="19" ht="16.2" customHeight="1" thickBot="1">
      <c r="A19" s="203" t="inlineStr">
        <is>
          <t>Centurion</t>
        </is>
      </c>
      <c r="B19" s="201">
        <f>'3 August - 9 August 2020'!D19</f>
        <v/>
      </c>
      <c r="C19" s="205" t="n"/>
      <c r="D19" s="206" t="n">
        <v>65624.5</v>
      </c>
      <c r="E19" s="207">
        <f>IFERROR((SUM(D19-C19)/C19),0)</f>
        <v/>
      </c>
      <c r="F19" s="156">
        <f>IFERROR((SUM(D19-B19)/B19),0)</f>
        <v/>
      </c>
      <c r="G19" s="151" t="n">
        <v>252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18124</v>
      </c>
      <c r="L19" s="116">
        <f>SUM(K19/D19)</f>
        <v/>
      </c>
      <c r="M19" s="248" t="n">
        <v>14789.48</v>
      </c>
      <c r="N19" s="116">
        <f>SUM(M19/D19)</f>
        <v/>
      </c>
      <c r="O19" s="134" t="n">
        <v>1439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(((D4-D19)-C4)/C4)</f>
        <v/>
      </c>
      <c r="F2" s="400">
        <f>(((D4-D19)-B4)/D4)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</f>
        <v/>
      </c>
      <c r="C4" s="135">
        <f>SUM(C6:C19)-C14</f>
        <v/>
      </c>
      <c r="D4" s="142">
        <f>SUM(D6:D19)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'10 August - 16 August 2020'!D6</f>
        <v/>
      </c>
      <c r="C6" s="123" t="n">
        <v>231767.72</v>
      </c>
      <c r="D6" s="197" t="n">
        <v>148267.9</v>
      </c>
      <c r="E6" s="162">
        <f>IFERROR((SUM(D6-C6)/C6),0)</f>
        <v/>
      </c>
      <c r="F6" s="154">
        <f>IFERROR((SUM(D6-B6)/B6),0)</f>
        <v/>
      </c>
      <c r="G6" s="149" t="n">
        <v>489</v>
      </c>
      <c r="H6" s="124">
        <f>IFERROR(D6/G6,0)</f>
        <v/>
      </c>
      <c r="I6" s="125" t="n">
        <v>0</v>
      </c>
      <c r="J6" s="126">
        <f>IFERROR(I6/G6,0)</f>
        <v/>
      </c>
      <c r="K6" s="246" t="n">
        <v>6352.26</v>
      </c>
      <c r="L6" s="128">
        <f>SUM(K6/D6)</f>
        <v/>
      </c>
      <c r="M6" s="247" t="n">
        <v>33115.87</v>
      </c>
      <c r="N6" s="128">
        <f>SUM(M6/D6)</f>
        <v/>
      </c>
      <c r="O6" s="129" t="n">
        <v>2377</v>
      </c>
      <c r="P6" s="26" t="n"/>
    </row>
    <row r="7" ht="15.6" customHeight="1">
      <c r="A7" s="409" t="inlineStr">
        <is>
          <t>Melrose Arch</t>
        </is>
      </c>
      <c r="B7" s="200">
        <f>'10 August - 16 August 2020'!D7</f>
        <v/>
      </c>
      <c r="C7" s="73" t="n">
        <v>221483.49</v>
      </c>
      <c r="D7" s="145" t="n">
        <v>148887.1</v>
      </c>
      <c r="E7" s="163">
        <f>IFERROR((SUM(D7-C7)/C7),0)</f>
        <v/>
      </c>
      <c r="F7" s="155">
        <f>IFERROR((SUM(D7-B7)/B7),0)</f>
        <v/>
      </c>
      <c r="G7" s="150" t="n">
        <v>515</v>
      </c>
      <c r="H7" s="63">
        <f>IFERROR(D7/G7,0)</f>
        <v/>
      </c>
      <c r="I7" s="61" t="n">
        <v>0</v>
      </c>
      <c r="J7" s="28">
        <f>IFERROR(I7/G7,0)</f>
        <v/>
      </c>
      <c r="K7" s="247" t="n">
        <v>27944.21</v>
      </c>
      <c r="L7" s="89">
        <f>SUM(K7/D7)</f>
        <v/>
      </c>
      <c r="M7" s="247" t="n">
        <v>14394.57</v>
      </c>
      <c r="N7" s="89">
        <f>SUM(M7/D7)</f>
        <v/>
      </c>
      <c r="O7" s="130" t="n">
        <v>1696.35</v>
      </c>
      <c r="P7" s="26" t="n"/>
    </row>
    <row r="8" ht="15.6" customHeight="1">
      <c r="A8" s="409" t="inlineStr">
        <is>
          <t>Melville</t>
        </is>
      </c>
      <c r="B8" s="200">
        <f>'10 August - 16 August 2020'!D8</f>
        <v/>
      </c>
      <c r="C8" s="73" t="n">
        <v>108339.36</v>
      </c>
      <c r="D8" s="145" t="n">
        <v>97802.64</v>
      </c>
      <c r="E8" s="163">
        <f>IFERROR((SUM(D8-C8)/C8),0)</f>
        <v/>
      </c>
      <c r="F8" s="155">
        <f>IFERROR((SUM(D8-B8)/B8),0)</f>
        <v/>
      </c>
      <c r="G8" s="150" t="n">
        <v>405</v>
      </c>
      <c r="H8" s="63">
        <f>IFERROR(D8/G8,0)</f>
        <v/>
      </c>
      <c r="I8" s="61" t="n">
        <v>0</v>
      </c>
      <c r="J8" s="28">
        <f>IFERROR(I8/G8,0)</f>
        <v/>
      </c>
      <c r="K8" s="247" t="n">
        <v>31323.68</v>
      </c>
      <c r="L8" s="89">
        <f>SUM(K8/D8)</f>
        <v/>
      </c>
      <c r="M8" s="247" t="n">
        <v>19862.52</v>
      </c>
      <c r="N8" s="89">
        <f>SUM(M8/D8)</f>
        <v/>
      </c>
      <c r="O8" s="130" t="n">
        <v>718</v>
      </c>
      <c r="P8" s="26" t="n"/>
    </row>
    <row r="9" ht="15.6" customHeight="1">
      <c r="A9" s="409" t="inlineStr">
        <is>
          <t>Rosebank</t>
        </is>
      </c>
      <c r="B9" s="200">
        <f>'10 August - 16 August 2020'!D9</f>
        <v/>
      </c>
      <c r="C9" s="73" t="n">
        <v>0</v>
      </c>
      <c r="D9" s="145" t="n">
        <v>0</v>
      </c>
      <c r="E9" s="163">
        <f>IFERROR((SUM(D9-C9)/C9),0)</f>
        <v/>
      </c>
      <c r="F9" s="155">
        <f>IFERROR((SUM(D9-B9)/B9),0)</f>
        <v/>
      </c>
      <c r="G9" s="150" t="n">
        <v>0</v>
      </c>
      <c r="H9" s="63">
        <f>IFERROR(D9/G9,0)</f>
        <v/>
      </c>
      <c r="I9" s="61" t="n">
        <v>0</v>
      </c>
      <c r="J9" s="28">
        <f>IFERROR(I9/G9,0)</f>
        <v/>
      </c>
      <c r="K9" s="247" t="n">
        <v>0</v>
      </c>
      <c r="L9" s="89">
        <f>SUM(K9/D9)</f>
        <v/>
      </c>
      <c r="M9" s="247" t="n">
        <v>0</v>
      </c>
      <c r="N9" s="89">
        <f>SUM(M9/D9)</f>
        <v/>
      </c>
      <c r="O9" s="130" t="n">
        <v>0</v>
      </c>
      <c r="P9" s="26" t="n"/>
    </row>
    <row r="10" ht="15.6" customHeight="1">
      <c r="A10" s="411" t="inlineStr">
        <is>
          <t xml:space="preserve">Waterkloof </t>
        </is>
      </c>
      <c r="B10" s="200">
        <f>'10 August - 16 August 2020'!D10</f>
        <v/>
      </c>
      <c r="C10" s="73" t="n">
        <v>146426.02</v>
      </c>
      <c r="D10" s="145" t="n">
        <v>133499.7</v>
      </c>
      <c r="E10" s="163">
        <f>IFERROR((SUM(D10-C10)/C10),0)</f>
        <v/>
      </c>
      <c r="F10" s="155">
        <f>IFERROR((SUM(D10-B10)/B10),0)</f>
        <v/>
      </c>
      <c r="G10" s="150" t="n">
        <v>381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29669.53</v>
      </c>
      <c r="L10" s="89">
        <f>SUM(K10/D10)</f>
        <v/>
      </c>
      <c r="M10" s="247" t="n">
        <v>19933</v>
      </c>
      <c r="N10" s="89">
        <f>SUM(M10/D10)</f>
        <v/>
      </c>
      <c r="O10" s="130" t="n">
        <v>1892</v>
      </c>
      <c r="P10" s="26" t="n"/>
    </row>
    <row r="11" ht="15.6" customHeight="1">
      <c r="A11" s="409" t="inlineStr">
        <is>
          <t>Eagles Landing</t>
        </is>
      </c>
      <c r="B11" s="200">
        <f>'10 August - 16 August 2020'!D11</f>
        <v/>
      </c>
      <c r="C11" s="73" t="n">
        <v>360091.79</v>
      </c>
      <c r="D11" s="145" t="n">
        <v>217481.9</v>
      </c>
      <c r="E11" s="163">
        <f>IFERROR((SUM(D11-C11)/C11),0)</f>
        <v/>
      </c>
      <c r="F11" s="155">
        <f>IFERROR((SUM(D11-B11)/B11),0)</f>
        <v/>
      </c>
      <c r="G11" s="150" t="n">
        <v>776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35441.73</v>
      </c>
      <c r="L11" s="89">
        <f>SUM(K11/D11)</f>
        <v/>
      </c>
      <c r="M11" s="247" t="n">
        <v>22507.61</v>
      </c>
      <c r="N11" s="89">
        <f>SUM(M11/D11)</f>
        <v/>
      </c>
      <c r="O11" s="130" t="n">
        <v>2276.29</v>
      </c>
      <c r="P11" s="26" t="n"/>
    </row>
    <row r="12" ht="15.6" customHeight="1">
      <c r="A12" s="198" t="inlineStr">
        <is>
          <t>Stellenbosch</t>
        </is>
      </c>
      <c r="B12" s="200">
        <f>'10 August - 16 August 2020'!D12</f>
        <v/>
      </c>
      <c r="C12" s="73" t="n">
        <v>140341.66</v>
      </c>
      <c r="D12" s="145" t="n">
        <v>97296.56</v>
      </c>
      <c r="E12" s="163">
        <f>IFERROR((SUM(D12-C12)/C12),0)</f>
        <v/>
      </c>
      <c r="F12" s="155">
        <f>IFERROR((SUM(D12-B12)/B12),0)</f>
        <v/>
      </c>
      <c r="G12" s="150" t="n">
        <v>333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6930.38</v>
      </c>
      <c r="L12" s="89">
        <f>SUM(K12/D12)</f>
        <v/>
      </c>
      <c r="M12" s="247" t="n">
        <v>14230.96</v>
      </c>
      <c r="N12" s="89">
        <f>SUM(M12/D12)</f>
        <v/>
      </c>
      <c r="O12" s="130" t="n">
        <v>1635.6</v>
      </c>
      <c r="P12" s="26" t="n"/>
    </row>
    <row r="13" ht="15.6" customHeight="1">
      <c r="A13" s="198" t="inlineStr">
        <is>
          <t>Lynnwood</t>
        </is>
      </c>
      <c r="B13" s="200">
        <f>'10 August - 16 August 2020'!D13</f>
        <v/>
      </c>
      <c r="C13" s="73" t="n">
        <v>198305.39</v>
      </c>
      <c r="D13" s="145" t="n">
        <v>159754.3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18467.87</v>
      </c>
      <c r="L13" s="89">
        <f>SUM(K13/D13)</f>
        <v/>
      </c>
      <c r="M13" s="247" t="n">
        <v>27868.87</v>
      </c>
      <c r="N13" s="89">
        <f>SUM(M13/D13)</f>
        <v/>
      </c>
      <c r="O13" s="130" t="n">
        <v>1908.5</v>
      </c>
      <c r="P13" s="26" t="n"/>
    </row>
    <row r="14" hidden="1" ht="15.6" customHeight="1">
      <c r="A14" s="198" t="inlineStr">
        <is>
          <t>Wellington</t>
        </is>
      </c>
      <c r="B14" s="200">
        <f>'10 August - 16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'10 August - 16 August 2020'!D15</f>
        <v/>
      </c>
      <c r="C15" s="73" t="n">
        <v>144589.57</v>
      </c>
      <c r="D15" s="145" t="n">
        <v>127454.9</v>
      </c>
      <c r="E15" s="163">
        <f>IFERROR((SUM(D15-C15)/C15),0)</f>
        <v/>
      </c>
      <c r="F15" s="155">
        <f>IFERROR((SUM(D15-B15)/B15),0)</f>
        <v/>
      </c>
      <c r="G15" s="150" t="n">
        <v>421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14340</v>
      </c>
      <c r="N15" s="89">
        <f>SUM(M15/D15)</f>
        <v/>
      </c>
      <c r="O15" s="130" t="n">
        <v>1972</v>
      </c>
      <c r="P15" s="9" t="n"/>
    </row>
    <row r="16" ht="15.6" customHeight="1">
      <c r="A16" s="198" t="inlineStr">
        <is>
          <t>Kyalami Corner</t>
        </is>
      </c>
      <c r="B16" s="200">
        <f>'10 August - 16 August 2020'!D16</f>
        <v/>
      </c>
      <c r="C16" s="73" t="n">
        <v>132180.87</v>
      </c>
      <c r="D16" s="145" t="n">
        <v>98588.39999999999</v>
      </c>
      <c r="E16" s="163">
        <f>IFERROR((SUM(D16-C16)/C16),0)</f>
        <v/>
      </c>
      <c r="F16" s="155">
        <f>IFERROR((SUM(D16-B16)/B16),0)</f>
        <v/>
      </c>
      <c r="G16" s="150" t="n">
        <v>385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21178.66</v>
      </c>
      <c r="L16" s="89">
        <f>SUM(K16/D16)</f>
        <v/>
      </c>
      <c r="M16" s="247" t="n">
        <v>19712.91</v>
      </c>
      <c r="N16" s="89">
        <f>SUM(M16/D16)</f>
        <v/>
      </c>
      <c r="O16" s="130" t="n">
        <v>2229</v>
      </c>
      <c r="P16" s="9" t="n"/>
      <c r="S16" s="238" t="n"/>
    </row>
    <row r="17" ht="15.6" customHeight="1">
      <c r="A17" s="251" t="inlineStr">
        <is>
          <t>Paulshof</t>
        </is>
      </c>
      <c r="B17" s="200">
        <f>'10 August - 16 August 2020'!D17</f>
        <v/>
      </c>
      <c r="C17" s="73" t="n">
        <v>198741.03</v>
      </c>
      <c r="D17" s="145" t="n">
        <v>156661</v>
      </c>
      <c r="E17" s="163">
        <f>IFERROR((SUM(D17-C17)/C17),0)</f>
        <v/>
      </c>
      <c r="F17" s="155">
        <f>IFERROR((SUM(D17-B17)/B17),0)</f>
        <v/>
      </c>
      <c r="G17" s="150" t="n">
        <v>496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6189.52</v>
      </c>
      <c r="L17" s="89">
        <f>SUM(K17/D17)</f>
        <v/>
      </c>
      <c r="M17" s="247" t="n">
        <v>33270.26</v>
      </c>
      <c r="N17" s="89">
        <f>SUM(M17/D17)</f>
        <v/>
      </c>
      <c r="O17" s="130" t="n">
        <v>1044</v>
      </c>
      <c r="P17" s="9" t="n"/>
    </row>
    <row r="18" ht="15.6" customHeight="1">
      <c r="A18" s="198" t="inlineStr">
        <is>
          <t>Queenswood</t>
        </is>
      </c>
      <c r="B18" s="200">
        <f>'10 August - 16 August 2020'!D18</f>
        <v/>
      </c>
      <c r="C18" s="73" t="n">
        <v>159131.38</v>
      </c>
      <c r="D18" s="145" t="n">
        <v>97925.73</v>
      </c>
      <c r="E18" s="163">
        <f>IFERROR((SUM(D18-C18)/C18),0)</f>
        <v/>
      </c>
      <c r="F18" s="155">
        <f>IFERROR((SUM(D18-B18)/B18),0)</f>
        <v/>
      </c>
      <c r="G18" s="150" t="n">
        <v>403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9985.950000000001</v>
      </c>
      <c r="L18" s="89">
        <f>SUM(K18/D18)</f>
        <v/>
      </c>
      <c r="M18" s="247" t="n">
        <v>18507.7</v>
      </c>
      <c r="N18" s="89">
        <f>SUM(M18/D18)</f>
        <v/>
      </c>
      <c r="O18" s="130" t="n">
        <v>1279</v>
      </c>
      <c r="P18" s="9" t="n"/>
    </row>
    <row r="19" ht="16.2" customHeight="1" thickBot="1">
      <c r="A19" s="203" t="inlineStr">
        <is>
          <t>Centurion</t>
        </is>
      </c>
      <c r="B19" s="201">
        <f>'10 August - 16 August 2020'!D19</f>
        <v/>
      </c>
      <c r="C19" s="205" t="n"/>
      <c r="D19" s="206" t="n">
        <v>59201.27</v>
      </c>
      <c r="E19" s="207">
        <f>IFERROR((SUM(D19-C19)/C19),0)</f>
        <v/>
      </c>
      <c r="F19" s="156">
        <f>IFERROR((SUM(D19-B19)/B19),0)</f>
        <v/>
      </c>
      <c r="G19" s="151" t="n">
        <v>197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10698.87</v>
      </c>
      <c r="L19" s="116">
        <f>SUM(K19/D19)</f>
        <v/>
      </c>
      <c r="M19" s="248" t="n">
        <v>9689.780000000001</v>
      </c>
      <c r="N19" s="116">
        <f>SUM(M19/D19)</f>
        <v/>
      </c>
      <c r="O19" s="134" t="n">
        <v>1529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'17 August - 23 August 2020'!D6</f>
        <v/>
      </c>
      <c r="C6" s="123" t="n">
        <v>248696.5</v>
      </c>
      <c r="D6" s="197" t="n">
        <v>159546.92</v>
      </c>
      <c r="E6" s="162">
        <f>IFERROR((SUM(D6-C6)/C6),0)</f>
        <v/>
      </c>
      <c r="F6" s="154">
        <f>IFERROR((SUM(D6-B6)/B6),0)</f>
        <v/>
      </c>
      <c r="G6" s="149" t="n">
        <v>548</v>
      </c>
      <c r="H6" s="124">
        <f>IFERROR(D6/G6,0)</f>
        <v/>
      </c>
      <c r="I6" s="125" t="n">
        <v>0</v>
      </c>
      <c r="J6" s="126">
        <f>IFERROR(I6/G6,0)</f>
        <v/>
      </c>
      <c r="K6" s="246" t="n">
        <v>9954.26</v>
      </c>
      <c r="L6" s="128">
        <f>SUM(K6/D6)</f>
        <v/>
      </c>
      <c r="M6" s="247" t="n">
        <v>34048.22</v>
      </c>
      <c r="N6" s="128">
        <f>SUM(M6/D6)</f>
        <v/>
      </c>
      <c r="O6" s="129" t="n">
        <v>4214</v>
      </c>
      <c r="P6" s="26" t="n"/>
    </row>
    <row r="7" ht="15.6" customHeight="1">
      <c r="A7" s="409" t="inlineStr">
        <is>
          <t>Melrose Arch</t>
        </is>
      </c>
      <c r="B7" s="200">
        <f>'17 August - 23 August 2020'!D7</f>
        <v/>
      </c>
      <c r="C7" s="73" t="n">
        <v>252827.21</v>
      </c>
      <c r="D7" s="145" t="n">
        <v>159359.63</v>
      </c>
      <c r="E7" s="163">
        <f>IFERROR((SUM(D7-C7)/C7),0)</f>
        <v/>
      </c>
      <c r="F7" s="155">
        <f>IFERROR((SUM(D7-B7)/B7),0)</f>
        <v/>
      </c>
      <c r="G7" s="150" t="n">
        <v>582</v>
      </c>
      <c r="H7" s="63">
        <f>IFERROR(D7/G7,0)</f>
        <v/>
      </c>
      <c r="I7" s="61" t="n">
        <v>0</v>
      </c>
      <c r="J7" s="28">
        <f>IFERROR(I7/G7,0)</f>
        <v/>
      </c>
      <c r="K7" s="247" t="n">
        <v>23348.57</v>
      </c>
      <c r="L7" s="89">
        <f>SUM(K7/D7)</f>
        <v/>
      </c>
      <c r="M7" s="247" t="n">
        <v>16880.26</v>
      </c>
      <c r="N7" s="89">
        <f>SUM(M7/D7)</f>
        <v/>
      </c>
      <c r="O7" s="130" t="n">
        <v>4882</v>
      </c>
      <c r="P7" s="26" t="n"/>
    </row>
    <row r="8" ht="15.6" customHeight="1">
      <c r="A8" s="409" t="inlineStr">
        <is>
          <t>Melville</t>
        </is>
      </c>
      <c r="B8" s="200">
        <f>'17 August - 23 August 2020'!D8</f>
        <v/>
      </c>
      <c r="C8" s="73" t="n">
        <v>100438.88</v>
      </c>
      <c r="D8" s="145" t="n">
        <v>89576.67</v>
      </c>
      <c r="E8" s="163">
        <f>IFERROR((SUM(D8-C8)/C8),0)</f>
        <v/>
      </c>
      <c r="F8" s="155">
        <f>IFERROR((SUM(D8-B8)/B8),0)</f>
        <v/>
      </c>
      <c r="G8" s="150" t="n">
        <v>365</v>
      </c>
      <c r="H8" s="63">
        <f>IFERROR(D8/G8,0)</f>
        <v/>
      </c>
      <c r="I8" s="61" t="n">
        <v>0</v>
      </c>
      <c r="J8" s="28">
        <f>IFERROR(I8/G8,0)</f>
        <v/>
      </c>
      <c r="K8" s="247" t="n">
        <v>35780.96</v>
      </c>
      <c r="L8" s="89">
        <f>SUM(K8/D8)</f>
        <v/>
      </c>
      <c r="M8" s="247" t="n">
        <v>14179.13</v>
      </c>
      <c r="N8" s="89">
        <f>SUM(M8/D8)</f>
        <v/>
      </c>
      <c r="O8" s="130" t="n">
        <v>900</v>
      </c>
      <c r="P8" s="26" t="n"/>
    </row>
    <row r="9" ht="15.6" customHeight="1">
      <c r="A9" s="409" t="inlineStr">
        <is>
          <t>Rosebank</t>
        </is>
      </c>
      <c r="B9" s="200">
        <f>'17 August - 23 August 2020'!D9</f>
        <v/>
      </c>
      <c r="C9" s="73" t="n">
        <v>336182.19</v>
      </c>
      <c r="D9" s="145" t="n">
        <v>167047.18</v>
      </c>
      <c r="E9" s="163">
        <f>IFERROR((SUM(D9-C9)/C9),0)</f>
        <v/>
      </c>
      <c r="F9" s="155">
        <f>IFERROR((SUM(D9-B9)/B9),0)</f>
        <v/>
      </c>
      <c r="G9" s="150" t="n">
        <v>619</v>
      </c>
      <c r="H9" s="63">
        <f>IFERROR(D9/G9,0)</f>
        <v/>
      </c>
      <c r="I9" s="61" t="n">
        <v>0</v>
      </c>
      <c r="J9" s="28">
        <f>IFERROR(I9/G9,0)</f>
        <v/>
      </c>
      <c r="K9" s="247" t="n">
        <v>6177.65</v>
      </c>
      <c r="L9" s="89">
        <f>SUM(K9/D9)</f>
        <v/>
      </c>
      <c r="M9" s="247" t="n">
        <v>17707.44</v>
      </c>
      <c r="N9" s="89">
        <f>SUM(M9/D9)</f>
        <v/>
      </c>
      <c r="O9" s="130" t="n">
        <v>3733.1</v>
      </c>
      <c r="P9" s="26" t="n"/>
    </row>
    <row r="10" ht="15.6" customHeight="1">
      <c r="A10" s="411" t="inlineStr">
        <is>
          <t xml:space="preserve">Waterkloof </t>
        </is>
      </c>
      <c r="B10" s="200">
        <f>'17 August - 23 August 2020'!D10</f>
        <v/>
      </c>
      <c r="C10" s="73" t="n">
        <v>152135.33</v>
      </c>
      <c r="D10" s="145" t="n">
        <v>125718.07</v>
      </c>
      <c r="E10" s="163">
        <f>IFERROR((SUM(D10-C10)/C10),0)</f>
        <v/>
      </c>
      <c r="F10" s="155">
        <f>IFERROR((SUM(D10-B10)/B10),0)</f>
        <v/>
      </c>
      <c r="G10" s="150" t="n">
        <v>363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9827.16</v>
      </c>
      <c r="L10" s="89">
        <f>SUM(K10/D10)</f>
        <v/>
      </c>
      <c r="M10" s="247" t="n">
        <v>31969.03</v>
      </c>
      <c r="N10" s="89">
        <f>SUM(M10/D10)</f>
        <v/>
      </c>
      <c r="O10" s="130" t="n">
        <v>3267.98</v>
      </c>
      <c r="P10" s="26" t="n"/>
    </row>
    <row r="11" ht="15.6" customHeight="1">
      <c r="A11" s="409" t="inlineStr">
        <is>
          <t>Eagles Landing</t>
        </is>
      </c>
      <c r="B11" s="200">
        <f>'17 August - 23 August 2020'!D11</f>
        <v/>
      </c>
      <c r="C11" s="73" t="n">
        <v>359955.15</v>
      </c>
      <c r="D11" s="145" t="n">
        <v>225625.91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33358.91</v>
      </c>
      <c r="L11" s="89">
        <f>SUM(K11/D11)</f>
        <v/>
      </c>
      <c r="M11" s="247" t="n">
        <v>24582.96</v>
      </c>
      <c r="N11" s="89">
        <f>SUM(M11/D11)</f>
        <v/>
      </c>
      <c r="O11" s="130" t="n">
        <v>2499.6</v>
      </c>
      <c r="P11" s="26" t="n"/>
    </row>
    <row r="12" ht="15.6" customHeight="1">
      <c r="A12" s="198" t="inlineStr">
        <is>
          <t>Stellenbosch</t>
        </is>
      </c>
      <c r="B12" s="200">
        <f>'17 August - 23 August 2020'!D12</f>
        <v/>
      </c>
      <c r="C12" s="73" t="n">
        <v>142994.71</v>
      </c>
      <c r="D12" s="145" t="n">
        <v>87304.83</v>
      </c>
      <c r="E12" s="163">
        <f>IFERROR((SUM(D12-C12)/C12),0)</f>
        <v/>
      </c>
      <c r="F12" s="155">
        <f>IFERROR((SUM(D12-B12)/B12),0)</f>
        <v/>
      </c>
      <c r="G12" s="150" t="n">
        <v>296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9005.120000000001</v>
      </c>
      <c r="L12" s="89">
        <f>SUM(K12/D12)</f>
        <v/>
      </c>
      <c r="M12" s="247" t="n">
        <v>16659.57</v>
      </c>
      <c r="N12" s="89">
        <f>SUM(M12/D12)</f>
        <v/>
      </c>
      <c r="O12" s="130" t="n">
        <v>288</v>
      </c>
      <c r="P12" s="26" t="n"/>
    </row>
    <row r="13" ht="15.6" customHeight="1">
      <c r="A13" s="198" t="inlineStr">
        <is>
          <t>Lynnwood</t>
        </is>
      </c>
      <c r="B13" s="200">
        <f>'17 August - 23 August 2020'!D13</f>
        <v/>
      </c>
      <c r="C13" s="73" t="n">
        <v>200652.94</v>
      </c>
      <c r="D13" s="145" t="n">
        <v>157305.47</v>
      </c>
      <c r="E13" s="163">
        <f>IFERROR((SUM(D13-C13)/C13),0)</f>
        <v/>
      </c>
      <c r="F13" s="155">
        <f>IFERROR((SUM(D13-B13)/B13),0)</f>
        <v/>
      </c>
      <c r="G13" s="150" t="n">
        <v>595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21460.61</v>
      </c>
      <c r="L13" s="89">
        <f>SUM(K13/D13)</f>
        <v/>
      </c>
      <c r="M13" s="247" t="n">
        <v>30943.3</v>
      </c>
      <c r="N13" s="89">
        <f>SUM(M13/D13)</f>
        <v/>
      </c>
      <c r="O13" s="130" t="n">
        <v>2788.5</v>
      </c>
      <c r="P13" s="26" t="n"/>
    </row>
    <row r="14" hidden="1" ht="15.6" customHeight="1">
      <c r="A14" s="198" t="inlineStr">
        <is>
          <t>Wellington</t>
        </is>
      </c>
      <c r="B14" s="200">
        <f>'17 August - 23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'17 August - 23 August 2020'!D15</f>
        <v/>
      </c>
      <c r="C15" s="73" t="n">
        <v>149768.1</v>
      </c>
      <c r="D15" s="145" t="n">
        <v>143641.05</v>
      </c>
      <c r="E15" s="163">
        <f>IFERROR((SUM(D15-C15)/C15),0)</f>
        <v/>
      </c>
      <c r="F15" s="155">
        <f>IFERROR((SUM(D15-B15)/B15),0)</f>
        <v/>
      </c>
      <c r="G15" s="150" t="n">
        <v>453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0</v>
      </c>
      <c r="L15" s="89">
        <f>SUM(K15/D15)</f>
        <v/>
      </c>
      <c r="M15" s="247" t="n">
        <v>14717.04</v>
      </c>
      <c r="N15" s="89">
        <f>SUM(M15/D15)</f>
        <v/>
      </c>
      <c r="O15" s="130" t="n">
        <v>1427</v>
      </c>
      <c r="P15" s="9" t="n"/>
    </row>
    <row r="16" ht="15.6" customHeight="1">
      <c r="A16" s="198" t="inlineStr">
        <is>
          <t>Kyalami Corner</t>
        </is>
      </c>
      <c r="B16" s="200">
        <f>'17 August - 23 August 2020'!D16</f>
        <v/>
      </c>
      <c r="C16" s="73" t="n">
        <v>139344.52</v>
      </c>
      <c r="D16" s="145" t="n">
        <v>102765.68</v>
      </c>
      <c r="E16" s="163">
        <f>IFERROR((SUM(D16-C16)/C16),0)</f>
        <v/>
      </c>
      <c r="F16" s="155">
        <f>IFERROR((SUM(D16-B16)/B16),0)</f>
        <v/>
      </c>
      <c r="G16" s="150" t="n">
        <v>395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14143.86</v>
      </c>
      <c r="L16" s="89">
        <f>SUM(K16/D16)</f>
        <v/>
      </c>
      <c r="M16" s="247" t="n">
        <v>23602.9</v>
      </c>
      <c r="N16" s="89">
        <f>SUM(M16/D16)</f>
        <v/>
      </c>
      <c r="O16" s="130" t="n">
        <v>1430</v>
      </c>
      <c r="P16" s="9" t="n"/>
      <c r="S16" s="238" t="n"/>
    </row>
    <row r="17" ht="15.6" customHeight="1">
      <c r="A17" s="251" t="inlineStr">
        <is>
          <t>Paulshof</t>
        </is>
      </c>
      <c r="B17" s="200">
        <f>'17 August - 23 August 2020'!D17</f>
        <v/>
      </c>
      <c r="C17" s="73" t="n">
        <v>190535.34</v>
      </c>
      <c r="D17" s="145" t="n">
        <v>159701.51</v>
      </c>
      <c r="E17" s="163">
        <f>IFERROR((SUM(D17-C17)/C17),0)</f>
        <v/>
      </c>
      <c r="F17" s="155">
        <f>IFERROR((SUM(D17-B17)/B17),0)</f>
        <v/>
      </c>
      <c r="G17" s="150" t="n">
        <v>575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15025.39</v>
      </c>
      <c r="L17" s="89">
        <f>SUM(K17/D17)</f>
        <v/>
      </c>
      <c r="M17" s="247" t="n">
        <v>36113.74</v>
      </c>
      <c r="N17" s="89">
        <f>SUM(M17/D17)</f>
        <v/>
      </c>
      <c r="O17" s="130" t="n">
        <v>2092</v>
      </c>
      <c r="P17" s="9" t="n"/>
    </row>
    <row r="18" ht="15.6" customHeight="1">
      <c r="A18" s="198" t="inlineStr">
        <is>
          <t>Queenswood</t>
        </is>
      </c>
      <c r="B18" s="200">
        <f>'17 August - 23 August 2020'!D18</f>
        <v/>
      </c>
      <c r="C18" s="73" t="n">
        <v>171996.21</v>
      </c>
      <c r="D18" s="145" t="n">
        <v>122016.15</v>
      </c>
      <c r="E18" s="163">
        <f>IFERROR((SUM(D18-C18)/C18),0)</f>
        <v/>
      </c>
      <c r="F18" s="155">
        <f>IFERROR((SUM(D18-B18)/B18),0)</f>
        <v/>
      </c>
      <c r="G18" s="150" t="n">
        <v>467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11339.82</v>
      </c>
      <c r="L18" s="89">
        <f>SUM(K18/D18)</f>
        <v/>
      </c>
      <c r="M18" s="247" t="n">
        <v>23025.57</v>
      </c>
      <c r="N18" s="89">
        <f>SUM(M18/D18)</f>
        <v/>
      </c>
      <c r="O18" s="130" t="n">
        <v>1544.5</v>
      </c>
      <c r="P18" s="9" t="n"/>
    </row>
    <row r="19" ht="16.2" customHeight="1" thickBot="1">
      <c r="A19" s="203" t="inlineStr">
        <is>
          <t>Centurion</t>
        </is>
      </c>
      <c r="B19" s="201">
        <f>'17 August - 23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14.5546875" customWidth="1" min="11" max="11"/>
    <col width="11.6640625" bestFit="1" customWidth="1" min="12" max="12"/>
    <col width="13.6640625" customWidth="1" min="13" max="13"/>
    <col width="13.44140625" customWidth="1" min="14" max="14"/>
    <col width="12.6640625" bestFit="1" customWidth="1" min="15" max="15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n"/>
      <c r="N1" s="7" t="n"/>
      <c r="O1" s="81" t="n"/>
      <c r="P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81" t="n"/>
      <c r="P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Uber / Mr D Deliveries</t>
        </is>
      </c>
      <c r="L3" s="113" t="inlineStr">
        <is>
          <t>% To Date</t>
        </is>
      </c>
      <c r="M3" s="177" t="inlineStr">
        <is>
          <t>WhatsApp</t>
        </is>
      </c>
      <c r="N3" s="177" t="inlineStr">
        <is>
          <t>WhatsApp % of TO</t>
        </is>
      </c>
      <c r="O3" s="402" t="inlineStr">
        <is>
          <t>Discounts</t>
        </is>
      </c>
      <c r="P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49">
        <f>SUM(K6:K19)</f>
        <v/>
      </c>
      <c r="L4" s="222">
        <f>SUM(K4/D4)</f>
        <v/>
      </c>
      <c r="M4" s="244">
        <f>SUM(M6:M19)</f>
        <v/>
      </c>
      <c r="N4" s="222">
        <f>SUM(M4/D4)</f>
        <v/>
      </c>
      <c r="O4" s="141">
        <f>SUM(O6:O19)</f>
        <v/>
      </c>
      <c r="P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245">
        <f>I5+'Nov 19 - Nov 25'!I5+'Nov 26 - Dec 2'!I5+'Dec 3 - Dec 9'!I5+'Dec 10 - Dec 16'!I5+'Dec 17 - Dec 23'!I5+'Dec 24 - Dec 30'!I5</f>
        <v/>
      </c>
      <c r="L5" s="122">
        <f>IFERROR(K5/SUM(G5),0)</f>
        <v/>
      </c>
      <c r="M5" s="245" t="n"/>
      <c r="N5" s="122" t="n"/>
      <c r="O5" s="71" t="n"/>
      <c r="P5" s="25" t="n"/>
    </row>
    <row r="6" ht="16.5" customHeight="1">
      <c r="A6" s="408" t="inlineStr">
        <is>
          <t>Irene Village</t>
        </is>
      </c>
      <c r="B6" s="200">
        <f>'24 August - 30 August 2020'!D6</f>
        <v/>
      </c>
      <c r="C6" s="123" t="n">
        <v>244137.79</v>
      </c>
      <c r="D6" s="197" t="n">
        <v>182984.25</v>
      </c>
      <c r="E6" s="162">
        <f>IFERROR((SUM(D6-C6)/C6),0)</f>
        <v/>
      </c>
      <c r="F6" s="154">
        <f>IFERROR((SUM(D6-B6)/B6),0)</f>
        <v/>
      </c>
      <c r="G6" s="149" t="n">
        <v>606</v>
      </c>
      <c r="H6" s="124">
        <f>IFERROR(D6/G6,0)</f>
        <v/>
      </c>
      <c r="I6" s="125" t="n">
        <v>0</v>
      </c>
      <c r="J6" s="126">
        <f>IFERROR(I6/G6,0)</f>
        <v/>
      </c>
      <c r="K6" s="246" t="n">
        <v>4368.35</v>
      </c>
      <c r="L6" s="128">
        <f>SUM(K6/D6)</f>
        <v/>
      </c>
      <c r="M6" s="247" t="n">
        <v>39954.52</v>
      </c>
      <c r="N6" s="128">
        <f>SUM(M6/D6)</f>
        <v/>
      </c>
      <c r="O6" s="129" t="n">
        <v>3147.5</v>
      </c>
      <c r="P6" s="26" t="n"/>
    </row>
    <row r="7" ht="15.6" customHeight="1">
      <c r="A7" s="409" t="inlineStr">
        <is>
          <t>Melrose Arch</t>
        </is>
      </c>
      <c r="B7" s="200">
        <f>'24 August - 30 August 2020'!D7</f>
        <v/>
      </c>
      <c r="C7" s="73" t="n">
        <v>229648.34</v>
      </c>
      <c r="D7" s="145" t="n">
        <v>157601.76</v>
      </c>
      <c r="E7" s="163">
        <f>IFERROR((SUM(D7-C7)/C7),0)</f>
        <v/>
      </c>
      <c r="F7" s="155">
        <f>IFERROR((SUM(D7-B7)/B7),0)</f>
        <v/>
      </c>
      <c r="G7" s="150" t="n">
        <v>546</v>
      </c>
      <c r="H7" s="63">
        <f>IFERROR(D7/G7,0)</f>
        <v/>
      </c>
      <c r="I7" s="61" t="n">
        <v>0</v>
      </c>
      <c r="J7" s="28">
        <f>IFERROR(I7/G7,0)</f>
        <v/>
      </c>
      <c r="K7" s="247" t="n">
        <v>29845.64</v>
      </c>
      <c r="L7" s="89">
        <f>SUM(K7/D7)</f>
        <v/>
      </c>
      <c r="M7" s="247" t="n">
        <v>18842.74</v>
      </c>
      <c r="N7" s="89">
        <f>SUM(M7/D7)</f>
        <v/>
      </c>
      <c r="O7" s="130" t="n">
        <v>4101.7</v>
      </c>
      <c r="P7" s="26" t="n"/>
    </row>
    <row r="8" ht="15.6" customHeight="1">
      <c r="A8" s="409" t="inlineStr">
        <is>
          <t>Melville</t>
        </is>
      </c>
      <c r="B8" s="200">
        <f>'24 August - 30 August 2020'!D8</f>
        <v/>
      </c>
      <c r="C8" s="73" t="n">
        <v>122718.91</v>
      </c>
      <c r="D8" s="145" t="n">
        <v>105575.56</v>
      </c>
      <c r="E8" s="163">
        <f>IFERROR((SUM(D8-C8)/C8),0)</f>
        <v/>
      </c>
      <c r="F8" s="155">
        <f>IFERROR((SUM(D8-B8)/B8),0)</f>
        <v/>
      </c>
      <c r="G8" s="150" t="n">
        <v>396</v>
      </c>
      <c r="H8" s="63">
        <f>IFERROR(D8/G8,0)</f>
        <v/>
      </c>
      <c r="I8" s="61" t="n">
        <v>0</v>
      </c>
      <c r="J8" s="28">
        <f>IFERROR(I8/G8,0)</f>
        <v/>
      </c>
      <c r="K8" s="247" t="n">
        <v>34081.29</v>
      </c>
      <c r="L8" s="89">
        <f>SUM(K8/D8)</f>
        <v/>
      </c>
      <c r="M8" s="247" t="n">
        <v>11176.91</v>
      </c>
      <c r="N8" s="89">
        <f>SUM(M8/D8)</f>
        <v/>
      </c>
      <c r="O8" s="130" t="n">
        <v>871.25</v>
      </c>
      <c r="P8" s="26" t="n"/>
    </row>
    <row r="9" ht="15.6" customHeight="1">
      <c r="A9" s="409" t="inlineStr">
        <is>
          <t>Rosebank</t>
        </is>
      </c>
      <c r="B9" s="200">
        <f>'24 August - 30 August 2020'!D9</f>
        <v/>
      </c>
      <c r="C9" s="73" t="n">
        <v>315797.91</v>
      </c>
      <c r="D9" s="145" t="n">
        <v>192741.92</v>
      </c>
      <c r="E9" s="163">
        <f>IFERROR((SUM(D9-C9)/C9),0)</f>
        <v/>
      </c>
      <c r="F9" s="155">
        <f>IFERROR((SUM(D9-B9)/B9),0)</f>
        <v/>
      </c>
      <c r="G9" s="150" t="n">
        <v>669</v>
      </c>
      <c r="H9" s="63">
        <f>IFERROR(D9/G9,0)</f>
        <v/>
      </c>
      <c r="I9" s="61" t="n">
        <v>0</v>
      </c>
      <c r="J9" s="28">
        <f>IFERROR(I9/G9,0)</f>
        <v/>
      </c>
      <c r="K9" s="247" t="n">
        <v>9305.09</v>
      </c>
      <c r="L9" s="89">
        <f>SUM(K9/D9)</f>
        <v/>
      </c>
      <c r="M9" s="247" t="n">
        <v>14237</v>
      </c>
      <c r="N9" s="89">
        <f>SUM(M9/D9)</f>
        <v/>
      </c>
      <c r="O9" s="130" t="n">
        <v>1643</v>
      </c>
      <c r="P9" s="26" t="n"/>
    </row>
    <row r="10" ht="15.6" customHeight="1">
      <c r="A10" s="411" t="inlineStr">
        <is>
          <t xml:space="preserve">Waterkloof </t>
        </is>
      </c>
      <c r="B10" s="200">
        <f>'24 August - 30 August 2020'!D10</f>
        <v/>
      </c>
      <c r="C10" s="73" t="n">
        <v>144829.56</v>
      </c>
      <c r="D10" s="145" t="n">
        <v>118272</v>
      </c>
      <c r="E10" s="163">
        <f>IFERROR((SUM(D10-C10)/C10),0)</f>
        <v/>
      </c>
      <c r="F10" s="155">
        <f>IFERROR((SUM(D10-B10)/B10),0)</f>
        <v/>
      </c>
      <c r="G10" s="150" t="n">
        <v>369</v>
      </c>
      <c r="H10" s="63">
        <f>IFERROR(D10/G10,0)</f>
        <v/>
      </c>
      <c r="I10" s="61" t="n">
        <v>0</v>
      </c>
      <c r="J10" s="28">
        <f>IFERROR(I10/G10,0)</f>
        <v/>
      </c>
      <c r="K10" s="247" t="n">
        <v>15853.64</v>
      </c>
      <c r="L10" s="89">
        <f>SUM(K10/D10)</f>
        <v/>
      </c>
      <c r="M10" s="247" t="n">
        <v>31682.28</v>
      </c>
      <c r="N10" s="89">
        <f>SUM(M10/D10)</f>
        <v/>
      </c>
      <c r="O10" s="130" t="n">
        <v>2128.99</v>
      </c>
      <c r="P10" s="26" t="n"/>
    </row>
    <row r="11" ht="15.6" customHeight="1">
      <c r="A11" s="409" t="inlineStr">
        <is>
          <t>Eagles Landing</t>
        </is>
      </c>
      <c r="B11" s="200">
        <f>'24 August - 30 August 2020'!D11</f>
        <v/>
      </c>
      <c r="C11" s="73" t="n">
        <v>326752.89</v>
      </c>
      <c r="D11" s="145" t="n">
        <v>257820.21</v>
      </c>
      <c r="E11" s="163">
        <f>IFERROR((SUM(D11-C11)/C11),0)</f>
        <v/>
      </c>
      <c r="F11" s="155">
        <f>IFERROR((SUM(D11-B11)/B11),0)</f>
        <v/>
      </c>
      <c r="G11" s="150" t="n">
        <v>919</v>
      </c>
      <c r="H11" s="63">
        <f>IFERROR(D11/G11,0)</f>
        <v/>
      </c>
      <c r="I11" s="61" t="n">
        <v>0</v>
      </c>
      <c r="J11" s="28">
        <f>IFERROR(I11/G11,0)</f>
        <v/>
      </c>
      <c r="K11" s="247" t="n">
        <v>32975.39</v>
      </c>
      <c r="L11" s="89">
        <f>SUM(K11/D11)</f>
        <v/>
      </c>
      <c r="M11" s="247" t="n">
        <v>27009.35</v>
      </c>
      <c r="N11" s="89">
        <f>SUM(M11/D11)</f>
        <v/>
      </c>
      <c r="O11" s="130" t="n">
        <v>2069.4</v>
      </c>
      <c r="P11" s="26" t="n"/>
    </row>
    <row r="12" ht="15.6" customHeight="1">
      <c r="A12" s="198" t="inlineStr">
        <is>
          <t>Stellenbosch</t>
        </is>
      </c>
      <c r="B12" s="200">
        <f>'24 August - 30 August 2020'!D12</f>
        <v/>
      </c>
      <c r="C12" s="73" t="n">
        <v>146340.01</v>
      </c>
      <c r="D12" s="145" t="n">
        <v>104337.88</v>
      </c>
      <c r="E12" s="163">
        <f>IFERROR((SUM(D12-C12)/C12),0)</f>
        <v/>
      </c>
      <c r="F12" s="155">
        <f>IFERROR((SUM(D12-B12)/B12),0)</f>
        <v/>
      </c>
      <c r="G12" s="150" t="n">
        <v>353</v>
      </c>
      <c r="H12" s="63">
        <f>IFERROR(D12/G12,0)</f>
        <v/>
      </c>
      <c r="I12" s="61" t="n">
        <v>0</v>
      </c>
      <c r="J12" s="28">
        <f>IFERROR(I12/G12,0)</f>
        <v/>
      </c>
      <c r="K12" s="247" t="n">
        <v>6813.35</v>
      </c>
      <c r="L12" s="89">
        <f>SUM(K12/D12)</f>
        <v/>
      </c>
      <c r="M12" s="247" t="n">
        <v>18484.45</v>
      </c>
      <c r="N12" s="89">
        <f>SUM(M12/D12)</f>
        <v/>
      </c>
      <c r="O12" s="130" t="n">
        <v>388</v>
      </c>
      <c r="P12" s="26" t="n"/>
    </row>
    <row r="13" ht="15.6" customHeight="1">
      <c r="A13" s="198" t="inlineStr">
        <is>
          <t>Lynnwood</t>
        </is>
      </c>
      <c r="B13" s="200">
        <f>'24 August - 30 August 2020'!D13</f>
        <v/>
      </c>
      <c r="C13" s="73" t="n">
        <v>210216.79</v>
      </c>
      <c r="D13" s="145" t="n">
        <v>160475.67</v>
      </c>
      <c r="E13" s="163">
        <f>IFERROR((SUM(D13-C13)/C13),0)</f>
        <v/>
      </c>
      <c r="F13" s="155">
        <f>IFERROR((SUM(D13-B13)/B13),0)</f>
        <v/>
      </c>
      <c r="G13" s="150" t="n">
        <v>597</v>
      </c>
      <c r="H13" s="63">
        <f>IFERROR(D13/G13,0)</f>
        <v/>
      </c>
      <c r="I13" s="61" t="n">
        <v>0</v>
      </c>
      <c r="J13" s="28">
        <f>IFERROR(I13/G13,0)</f>
        <v/>
      </c>
      <c r="K13" s="247" t="n">
        <v>20243.43</v>
      </c>
      <c r="L13" s="89">
        <f>SUM(K13/D13)</f>
        <v/>
      </c>
      <c r="M13" s="247" t="n">
        <v>30394.94</v>
      </c>
      <c r="N13" s="89">
        <f>SUM(M13/D13)</f>
        <v/>
      </c>
      <c r="O13" s="130" t="n">
        <v>2562.5</v>
      </c>
      <c r="P13" s="26" t="n"/>
    </row>
    <row r="14" hidden="1" ht="15.6" customHeight="1">
      <c r="A14" s="198" t="inlineStr">
        <is>
          <t>Wellington</t>
        </is>
      </c>
      <c r="B14" s="200">
        <f>'24 August - 30 August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247" t="n"/>
      <c r="L14" s="89">
        <f>SUM(K14/D14)</f>
        <v/>
      </c>
      <c r="M14" s="247" t="n"/>
      <c r="N14" s="89">
        <f>SUM(M14/D14)</f>
        <v/>
      </c>
      <c r="O14" s="130" t="n"/>
      <c r="P14" s="26" t="n"/>
    </row>
    <row r="15" ht="15.6" customHeight="1">
      <c r="A15" s="198" t="inlineStr">
        <is>
          <t>Hartenbos</t>
        </is>
      </c>
      <c r="B15" s="200">
        <f>'24 August - 30 August 2020'!D15</f>
        <v/>
      </c>
      <c r="C15" s="73" t="n">
        <v>149312.25</v>
      </c>
      <c r="D15" s="145" t="n">
        <v>148414.68</v>
      </c>
      <c r="E15" s="163">
        <f>IFERROR((SUM(D15-C15)/C15),0)</f>
        <v/>
      </c>
      <c r="F15" s="155">
        <f>IFERROR((SUM(D15-B15)/B15),0)</f>
        <v/>
      </c>
      <c r="G15" s="150" t="n">
        <v>492</v>
      </c>
      <c r="H15" s="63">
        <f>IFERROR(D15/G15,0)</f>
        <v/>
      </c>
      <c r="I15" s="61" t="n">
        <v>0</v>
      </c>
      <c r="J15" s="28">
        <f>IFERROR(I15/G15,0)</f>
        <v/>
      </c>
      <c r="K15" s="247" t="n">
        <v>14996.09</v>
      </c>
      <c r="L15" s="89">
        <f>SUM(K15/D15)</f>
        <v/>
      </c>
      <c r="M15" s="247" t="n">
        <v>0</v>
      </c>
      <c r="N15" s="89">
        <f>SUM(M15/D15)</f>
        <v/>
      </c>
      <c r="O15" s="130" t="n">
        <v>2465.4</v>
      </c>
      <c r="P15" s="9" t="n"/>
    </row>
    <row r="16" ht="15.6" customHeight="1">
      <c r="A16" s="198" t="inlineStr">
        <is>
          <t>Kyalami Corner</t>
        </is>
      </c>
      <c r="B16" s="200">
        <f>'24 August - 30 August 2020'!D16</f>
        <v/>
      </c>
      <c r="C16" s="73" t="n">
        <v>119993.84</v>
      </c>
      <c r="D16" s="145" t="n">
        <v>102976.22</v>
      </c>
      <c r="E16" s="163">
        <f>IFERROR((SUM(D16-C16)/C16),0)</f>
        <v/>
      </c>
      <c r="F16" s="155">
        <f>IFERROR((SUM(D16-B16)/B16),0)</f>
        <v/>
      </c>
      <c r="G16" s="150" t="n">
        <v>396</v>
      </c>
      <c r="H16" s="63">
        <f>IFERROR(D16/G16,0)</f>
        <v/>
      </c>
      <c r="I16" s="61" t="n">
        <v>0</v>
      </c>
      <c r="J16" s="28">
        <f>IFERROR(I16/G16,0)</f>
        <v/>
      </c>
      <c r="K16" s="247" t="n">
        <v>17645.38</v>
      </c>
      <c r="L16" s="89">
        <f>SUM(K16/D16)</f>
        <v/>
      </c>
      <c r="M16" s="247" t="n">
        <v>15140</v>
      </c>
      <c r="N16" s="89">
        <f>SUM(M16/D16)</f>
        <v/>
      </c>
      <c r="O16" s="130" t="n">
        <v>1642</v>
      </c>
      <c r="P16" s="9" t="n"/>
      <c r="S16" s="238" t="n"/>
    </row>
    <row r="17" ht="15.6" customHeight="1">
      <c r="A17" s="251" t="inlineStr">
        <is>
          <t>Paulshof</t>
        </is>
      </c>
      <c r="B17" s="200">
        <f>'24 August - 30 August 2020'!D17</f>
        <v/>
      </c>
      <c r="C17" s="73" t="n">
        <v>181138.18</v>
      </c>
      <c r="D17" s="145" t="n">
        <v>145847.21</v>
      </c>
      <c r="E17" s="163">
        <f>IFERROR((SUM(D17-C17)/C17),0)</f>
        <v/>
      </c>
      <c r="F17" s="155">
        <f>IFERROR((SUM(D17-B17)/B17),0)</f>
        <v/>
      </c>
      <c r="G17" s="150" t="n">
        <v>577</v>
      </c>
      <c r="H17" s="63">
        <f>IFERROR(D17/G17,0)</f>
        <v/>
      </c>
      <c r="I17" s="61" t="n">
        <v>0</v>
      </c>
      <c r="J17" s="28">
        <f>IFERROR(I17/G17,0)</f>
        <v/>
      </c>
      <c r="K17" s="247" t="n">
        <v>7899.43</v>
      </c>
      <c r="L17" s="89">
        <f>SUM(K17/D17)</f>
        <v/>
      </c>
      <c r="M17" s="247" t="n">
        <v>13441.48</v>
      </c>
      <c r="N17" s="89">
        <f>SUM(M17/D17)</f>
        <v/>
      </c>
      <c r="O17" s="130" t="n">
        <v>1389</v>
      </c>
      <c r="P17" s="9" t="n"/>
    </row>
    <row r="18" ht="15.6" customHeight="1">
      <c r="A18" s="198" t="inlineStr">
        <is>
          <t>Queenswood</t>
        </is>
      </c>
      <c r="B18" s="200">
        <f>'24 August - 30 August 2020'!D18</f>
        <v/>
      </c>
      <c r="C18" s="73" t="n">
        <v>166964.42</v>
      </c>
      <c r="D18" s="145" t="n">
        <v>119750.29</v>
      </c>
      <c r="E18" s="163">
        <f>IFERROR((SUM(D18-C18)/C18),0)</f>
        <v/>
      </c>
      <c r="F18" s="155">
        <f>IFERROR((SUM(D18-B18)/B18),0)</f>
        <v/>
      </c>
      <c r="G18" s="150" t="n">
        <v>447</v>
      </c>
      <c r="H18" s="63">
        <f>IFERROR(D18/G18,0)</f>
        <v/>
      </c>
      <c r="I18" s="61" t="n">
        <v>0</v>
      </c>
      <c r="J18" s="28">
        <f>IFERROR(I18/G18,0)</f>
        <v/>
      </c>
      <c r="K18" s="247" t="n">
        <v>13390.25</v>
      </c>
      <c r="L18" s="89">
        <f>SUM(K18/D18)</f>
        <v/>
      </c>
      <c r="M18" s="247" t="n">
        <v>19865.09</v>
      </c>
      <c r="N18" s="89">
        <f>SUM(M18/D18)</f>
        <v/>
      </c>
      <c r="O18" s="130" t="n">
        <v>1016</v>
      </c>
      <c r="P18" s="9" t="n"/>
    </row>
    <row r="19" ht="16.2" customHeight="1" thickBot="1">
      <c r="A19" s="203" t="inlineStr">
        <is>
          <t>Centurion</t>
        </is>
      </c>
      <c r="B19" s="201">
        <f>'24 August - 30 August 2020'!D19</f>
        <v/>
      </c>
      <c r="C19" s="205" t="n"/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48" t="n">
        <v>0</v>
      </c>
      <c r="L19" s="116">
        <f>SUM(K19/D19)</f>
        <v/>
      </c>
      <c r="M19" s="248" t="n">
        <v>0</v>
      </c>
      <c r="N19" s="116">
        <f>SUM(M19/D19)</f>
        <v/>
      </c>
      <c r="O19" s="134" t="n">
        <v>0</v>
      </c>
      <c r="P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27" t="n"/>
      <c r="P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9" t="n"/>
    </row>
  </sheetData>
  <conditionalFormatting sqref="C6:C19">
    <cfRule type="cellIs" priority="6" operator="equal" dxfId="0">
      <formula>0</formula>
    </cfRule>
  </conditionalFormatting>
  <conditionalFormatting sqref="D7:D19">
    <cfRule type="cellIs" priority="5" operator="equal" dxfId="0">
      <formula>0</formula>
    </cfRule>
  </conditionalFormatting>
  <conditionalFormatting sqref="E6:O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'31 August - 6 Sept 2020'!D6</f>
        <v/>
      </c>
      <c r="C6" s="123" t="n">
        <v>239200.57</v>
      </c>
      <c r="D6" s="197" t="n">
        <v>172765.9</v>
      </c>
      <c r="E6" s="162">
        <f>IFERROR((SUM(D6-C6)/C6),0)</f>
        <v/>
      </c>
      <c r="F6" s="154">
        <f>IFERROR((SUM(D6-B6)/B6),0)</f>
        <v/>
      </c>
      <c r="G6" s="149" t="n">
        <v>565</v>
      </c>
      <c r="H6" s="124">
        <f>IFERROR(D6/G6,0)</f>
        <v/>
      </c>
      <c r="I6" s="125" t="n">
        <v>0</v>
      </c>
      <c r="J6" s="126">
        <f>IFERROR(I6/G6,0)</f>
        <v/>
      </c>
      <c r="K6" s="46" t="n">
        <v>50</v>
      </c>
      <c r="L6" s="171">
        <f>IFERROR(K6/SUM(G6),0)</f>
        <v/>
      </c>
      <c r="M6" s="246" t="n">
        <v>13905.04</v>
      </c>
      <c r="N6" s="128">
        <f>SUM(M6/D6)</f>
        <v/>
      </c>
      <c r="O6" s="247" t="n">
        <v>23036.77</v>
      </c>
      <c r="P6" s="128">
        <f>SUM(O6/D6)</f>
        <v/>
      </c>
      <c r="Q6" s="129" t="n">
        <v>2713</v>
      </c>
      <c r="R6" s="26" t="n"/>
    </row>
    <row r="7" ht="15.6" customHeight="1">
      <c r="A7" s="409" t="inlineStr">
        <is>
          <t>Melrose Arch</t>
        </is>
      </c>
      <c r="B7" s="200">
        <f>'31 August - 6 Sept 2020'!D7</f>
        <v/>
      </c>
      <c r="C7" s="73" t="n">
        <v>229551.86</v>
      </c>
      <c r="D7" s="145" t="n">
        <v>143196.01</v>
      </c>
      <c r="E7" s="163">
        <f>IFERROR((SUM(D7-C7)/C7),0)</f>
        <v/>
      </c>
      <c r="F7" s="155">
        <f>IFERROR((SUM(D7-B7)/B7),0)</f>
        <v/>
      </c>
      <c r="G7" s="150" t="n">
        <v>532</v>
      </c>
      <c r="H7" s="63">
        <f>IFERROR(D7/G7,0)</f>
        <v/>
      </c>
      <c r="I7" s="61" t="n">
        <v>0</v>
      </c>
      <c r="J7" s="28">
        <f>IFERROR(I7/G7,0)</f>
        <v/>
      </c>
      <c r="K7" s="46" t="n">
        <v>116</v>
      </c>
      <c r="L7" s="172">
        <f>IFERROR(K7/SUM(G7),0)</f>
        <v/>
      </c>
      <c r="M7" s="247" t="n">
        <v>17977.22</v>
      </c>
      <c r="N7" s="89">
        <f>SUM(M7/D7)</f>
        <v/>
      </c>
      <c r="O7" s="247" t="n">
        <v>11729.3</v>
      </c>
      <c r="P7" s="89">
        <f>SUM(O7/D7)</f>
        <v/>
      </c>
      <c r="Q7" s="130" t="n">
        <v>6912.35</v>
      </c>
      <c r="R7" s="26" t="n"/>
    </row>
    <row r="8" ht="15.6" customHeight="1">
      <c r="A8" s="409" t="inlineStr">
        <is>
          <t>Melville</t>
        </is>
      </c>
      <c r="B8" s="200">
        <f>'31 August - 6 Sept 2020'!D8</f>
        <v/>
      </c>
      <c r="C8" s="73" t="n">
        <v>100323.41</v>
      </c>
      <c r="D8" s="145" t="n">
        <v>90991.77</v>
      </c>
      <c r="E8" s="163">
        <f>IFERROR((SUM(D8-C8)/C8),0)</f>
        <v/>
      </c>
      <c r="F8" s="155">
        <f>IFERROR((SUM(D8-B8)/B8),0)</f>
        <v/>
      </c>
      <c r="G8" s="150" t="n">
        <v>358</v>
      </c>
      <c r="H8" s="63">
        <f>IFERROR(D8/G8,0)</f>
        <v/>
      </c>
      <c r="I8" s="61" t="n">
        <v>0</v>
      </c>
      <c r="J8" s="28">
        <f>IFERROR(I8/G8,0)</f>
        <v/>
      </c>
      <c r="K8" s="46" t="n">
        <v>22</v>
      </c>
      <c r="L8" s="172">
        <f>IFERROR(K8/SUM(G8),0)</f>
        <v/>
      </c>
      <c r="M8" s="247" t="n">
        <v>23414.39</v>
      </c>
      <c r="N8" s="89">
        <f>SUM(M8/D8)</f>
        <v/>
      </c>
      <c r="O8" s="247" t="n">
        <v>25151.74</v>
      </c>
      <c r="P8" s="89">
        <f>SUM(O8/D8)</f>
        <v/>
      </c>
      <c r="Q8" s="130" t="n">
        <v>1392.25</v>
      </c>
      <c r="R8" s="26" t="n"/>
    </row>
    <row r="9" ht="15.6" customHeight="1">
      <c r="A9" s="409" t="inlineStr">
        <is>
          <t>Rosebank</t>
        </is>
      </c>
      <c r="B9" s="200">
        <f>'31 August - 6 Sept 2020'!D9</f>
        <v/>
      </c>
      <c r="C9" s="73" t="n">
        <v>313819.25</v>
      </c>
      <c r="D9" s="145" t="n">
        <v>168420.84</v>
      </c>
      <c r="E9" s="163">
        <f>IFERROR((SUM(D9-C9)/C9),0)</f>
        <v/>
      </c>
      <c r="F9" s="155">
        <f>IFERROR((SUM(D9-B9)/B9),0)</f>
        <v/>
      </c>
      <c r="G9" s="150" t="n">
        <v>631</v>
      </c>
      <c r="H9" s="63">
        <f>IFERROR(D9/G9,0)</f>
        <v/>
      </c>
      <c r="I9" s="61" t="n">
        <v>0</v>
      </c>
      <c r="J9" s="28">
        <f>IFERROR(I9/G9,0)</f>
        <v/>
      </c>
      <c r="K9" s="46" t="n">
        <v>63</v>
      </c>
      <c r="L9" s="172">
        <f>IFERROR(K9/SUM(G9),0)</f>
        <v/>
      </c>
      <c r="M9" s="247" t="n">
        <v>7332.91</v>
      </c>
      <c r="N9" s="89">
        <f>SUM(M9/D9)</f>
        <v/>
      </c>
      <c r="O9" s="247" t="n">
        <v>13651.04</v>
      </c>
      <c r="P9" s="89">
        <f>SUM(O9/D9)</f>
        <v/>
      </c>
      <c r="Q9" s="130" t="n">
        <v>2684.5</v>
      </c>
      <c r="R9" s="26" t="n"/>
    </row>
    <row r="10" ht="15.6" customHeight="1">
      <c r="A10" s="411" t="inlineStr">
        <is>
          <t xml:space="preserve">Waterkloof </t>
        </is>
      </c>
      <c r="B10" s="200">
        <f>'31 August - 6 Sept 2020'!D10</f>
        <v/>
      </c>
      <c r="C10" s="73" t="n">
        <v>143750.61</v>
      </c>
      <c r="D10" s="145" t="n">
        <v>107290.46</v>
      </c>
      <c r="E10" s="163">
        <f>IFERROR((SUM(D10-C10)/C10),0)</f>
        <v/>
      </c>
      <c r="F10" s="155">
        <f>IFERROR((SUM(D10-B10)/B10),0)</f>
        <v/>
      </c>
      <c r="G10" s="150" t="n">
        <v>401</v>
      </c>
      <c r="H10" s="63">
        <f>IFERROR(D10/G10,0)</f>
        <v/>
      </c>
      <c r="I10" s="61" t="n">
        <v>0</v>
      </c>
      <c r="J10" s="28">
        <f>IFERROR(I10/G10,0)</f>
        <v/>
      </c>
      <c r="K10" s="46" t="n">
        <v>39</v>
      </c>
      <c r="L10" s="172">
        <f>IFERROR(K10/SUM(G10),0)</f>
        <v/>
      </c>
      <c r="M10" s="247" t="n">
        <v>21251.41</v>
      </c>
      <c r="N10" s="89">
        <f>SUM(M10/D10)</f>
        <v/>
      </c>
      <c r="O10" s="247" t="n">
        <v>25396.3</v>
      </c>
      <c r="P10" s="89">
        <f>SUM(O10/D10)</f>
        <v/>
      </c>
      <c r="Q10" s="130" t="n">
        <v>2697</v>
      </c>
      <c r="R10" s="26" t="n"/>
    </row>
    <row r="11" ht="15.6" customHeight="1">
      <c r="A11" s="409" t="inlineStr">
        <is>
          <t>Eagles Landing</t>
        </is>
      </c>
      <c r="B11" s="200">
        <f>'31 August - 6 Sept 2020'!D11</f>
        <v/>
      </c>
      <c r="C11" s="73" t="n">
        <v>326839.88</v>
      </c>
      <c r="D11" s="145" t="n">
        <v>235120.91</v>
      </c>
      <c r="E11" s="163">
        <f>IFERROR((SUM(D11-C11)/C11),0)</f>
        <v/>
      </c>
      <c r="F11" s="155">
        <f>IFERROR((SUM(D11-B11)/B11),0)</f>
        <v/>
      </c>
      <c r="G11" s="150" t="n">
        <v>838</v>
      </c>
      <c r="H11" s="63">
        <f>IFERROR(D11/G11,0)</f>
        <v/>
      </c>
      <c r="I11" s="61" t="n">
        <v>0</v>
      </c>
      <c r="J11" s="28">
        <f>IFERROR(I11/G11,0)</f>
        <v/>
      </c>
      <c r="K11" s="46" t="n">
        <v>205</v>
      </c>
      <c r="L11" s="172">
        <f>IFERROR(K11/SUM(G11),0)</f>
        <v/>
      </c>
      <c r="M11" s="247" t="n">
        <v>33384.71</v>
      </c>
      <c r="N11" s="89">
        <f>SUM(M11/D11)</f>
        <v/>
      </c>
      <c r="O11" s="247" t="n">
        <v>17130</v>
      </c>
      <c r="P11" s="89">
        <f>SUM(O11/D11)</f>
        <v/>
      </c>
      <c r="Q11" s="130" t="n">
        <v>2959</v>
      </c>
      <c r="R11" s="26" t="n"/>
    </row>
    <row r="12" ht="15.6" customHeight="1">
      <c r="A12" s="198" t="inlineStr">
        <is>
          <t>Stellenbosch</t>
        </is>
      </c>
      <c r="B12" s="200">
        <f>'31 August - 6 Sept 2020'!D12</f>
        <v/>
      </c>
      <c r="C12" s="73" t="n">
        <v>125103.86</v>
      </c>
      <c r="D12" s="145" t="n">
        <v>86007.75</v>
      </c>
      <c r="E12" s="163">
        <f>IFERROR((SUM(D12-C12)/C12),0)</f>
        <v/>
      </c>
      <c r="F12" s="155">
        <f>IFERROR((SUM(D12-B12)/B12),0)</f>
        <v/>
      </c>
      <c r="G12" s="150" t="n">
        <v>328</v>
      </c>
      <c r="H12" s="63">
        <f>IFERROR(D12/G12,0)</f>
        <v/>
      </c>
      <c r="I12" s="61" t="n">
        <v>0</v>
      </c>
      <c r="J12" s="28">
        <f>IFERROR(I12/G12,0)</f>
        <v/>
      </c>
      <c r="K12" s="46" t="n">
        <v>20</v>
      </c>
      <c r="L12" s="172">
        <f>IFERROR(K12/SUM(G12),0)</f>
        <v/>
      </c>
      <c r="M12" s="247" t="n">
        <v>7700.9</v>
      </c>
      <c r="N12" s="89">
        <f>SUM(M12/D12)</f>
        <v/>
      </c>
      <c r="O12" s="247" t="n">
        <v>12062.3</v>
      </c>
      <c r="P12" s="89">
        <f>SUM(O12/D12)</f>
        <v/>
      </c>
      <c r="Q12" s="130" t="n">
        <v>861</v>
      </c>
      <c r="R12" s="26" t="n"/>
    </row>
    <row r="13" ht="15.6" customHeight="1">
      <c r="A13" s="198" t="inlineStr">
        <is>
          <t>Lynnwood</t>
        </is>
      </c>
      <c r="B13" s="200">
        <f>'31 August - 6 Sept 2020'!D13</f>
        <v/>
      </c>
      <c r="C13" s="73" t="n">
        <v>193711.92</v>
      </c>
      <c r="D13" s="145" t="n">
        <v>151321.61</v>
      </c>
      <c r="E13" s="163">
        <f>IFERROR((SUM(D13-C13)/C13),0)</f>
        <v/>
      </c>
      <c r="F13" s="155">
        <f>IFERROR((SUM(D13-B13)/B13),0)</f>
        <v/>
      </c>
      <c r="G13" s="150" t="n">
        <v>566</v>
      </c>
      <c r="H13" s="63">
        <f>IFERROR(D13/G13,0)</f>
        <v/>
      </c>
      <c r="I13" s="61" t="n">
        <v>0</v>
      </c>
      <c r="J13" s="28">
        <f>IFERROR(I13/G13,0)</f>
        <v/>
      </c>
      <c r="K13" s="46" t="n">
        <v>89</v>
      </c>
      <c r="L13" s="172">
        <f>IFERROR(K13/SUM(G13),0)</f>
        <v/>
      </c>
      <c r="M13" s="247" t="n">
        <v>18457.08</v>
      </c>
      <c r="N13" s="89">
        <f>SUM(M13/D13)</f>
        <v/>
      </c>
      <c r="O13" s="247" t="n">
        <v>31180.04</v>
      </c>
      <c r="P13" s="89">
        <f>SUM(O13/D13)</f>
        <v/>
      </c>
      <c r="Q13" s="130" t="n">
        <v>2127.5</v>
      </c>
      <c r="R13" s="26" t="n"/>
    </row>
    <row r="14" hidden="1" ht="15.6" customHeight="1">
      <c r="A14" s="198" t="inlineStr">
        <is>
          <t>Wellington</t>
        </is>
      </c>
      <c r="B14" s="200">
        <f>'31 August - 6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'31 August - 6 Sept 2020'!D15</f>
        <v/>
      </c>
      <c r="C15" s="73" t="n">
        <v>146744.19</v>
      </c>
      <c r="D15" s="145" t="n">
        <v>141895.69</v>
      </c>
      <c r="E15" s="163">
        <f>IFERROR((SUM(D15-C15)/C15),0)</f>
        <v/>
      </c>
      <c r="F15" s="155">
        <f>IFERROR((SUM(D15-B15)/B15),0)</f>
        <v/>
      </c>
      <c r="G15" s="150" t="n">
        <v>516</v>
      </c>
      <c r="H15" s="63">
        <f>IFERROR(D15/G15,0)</f>
        <v/>
      </c>
      <c r="I15" s="61" t="n">
        <v>0</v>
      </c>
      <c r="J15" s="28">
        <f>IFERROR(I15/G15,0)</f>
        <v/>
      </c>
      <c r="K15" s="46" t="n">
        <v>247</v>
      </c>
      <c r="L15" s="172">
        <f>IFERROR(K15/SUM(G15),0)</f>
        <v/>
      </c>
      <c r="M15" s="247" t="n">
        <v>16248.17</v>
      </c>
      <c r="N15" s="89">
        <f>SUM(M15/D15)</f>
        <v/>
      </c>
      <c r="O15" s="247" t="n">
        <v>0</v>
      </c>
      <c r="P15" s="89">
        <f>SUM(O15/D15)</f>
        <v/>
      </c>
      <c r="Q15" s="130" t="n">
        <v>993</v>
      </c>
      <c r="R15" s="9" t="n"/>
    </row>
    <row r="16" ht="15.6" customHeight="1">
      <c r="A16" s="198" t="inlineStr">
        <is>
          <t>Kyalami Corner</t>
        </is>
      </c>
      <c r="B16" s="200">
        <f>'31 August - 6 Sept 2020'!D16</f>
        <v/>
      </c>
      <c r="C16" s="73" t="n">
        <v>124313.82</v>
      </c>
      <c r="D16" s="145" t="n">
        <v>99944.92</v>
      </c>
      <c r="E16" s="163">
        <f>IFERROR((SUM(D16-C16)/C16),0)</f>
        <v/>
      </c>
      <c r="F16" s="155">
        <f>IFERROR((SUM(D16-B16)/B16),0)</f>
        <v/>
      </c>
      <c r="G16" s="150" t="n">
        <v>383</v>
      </c>
      <c r="H16" s="63">
        <f>IFERROR(D16/G16,0)</f>
        <v/>
      </c>
      <c r="I16" s="61" t="n">
        <v>0</v>
      </c>
      <c r="J16" s="28">
        <f>IFERROR(I16/G16,0)</f>
        <v/>
      </c>
      <c r="K16" s="46" t="n">
        <v>44</v>
      </c>
      <c r="L16" s="172">
        <f>IFERROR(K16/SUM(G16),0)</f>
        <v/>
      </c>
      <c r="M16" s="247" t="n">
        <v>10920.13</v>
      </c>
      <c r="N16" s="89">
        <f>SUM(M16/D16)</f>
        <v/>
      </c>
      <c r="O16" s="247" t="n">
        <v>21866.3</v>
      </c>
      <c r="P16" s="89">
        <f>SUM(O16/D16)</f>
        <v/>
      </c>
      <c r="Q16" s="130" t="n">
        <v>2279</v>
      </c>
      <c r="R16" s="9" t="n"/>
      <c r="U16" s="238" t="n"/>
    </row>
    <row r="17" ht="15.6" customHeight="1">
      <c r="A17" s="251" t="inlineStr">
        <is>
          <t>Paulshof</t>
        </is>
      </c>
      <c r="B17" s="200">
        <f>'31 August - 6 Sept 2020'!D17</f>
        <v/>
      </c>
      <c r="C17" s="73" t="n">
        <v>218690.87</v>
      </c>
      <c r="D17" s="145" t="n">
        <v>166839.26</v>
      </c>
      <c r="E17" s="163">
        <f>IFERROR((SUM(D17-C17)/C17),0)</f>
        <v/>
      </c>
      <c r="F17" s="155">
        <f>IFERROR((SUM(D17-B17)/B17),0)</f>
        <v/>
      </c>
      <c r="G17" s="150" t="n">
        <v>527</v>
      </c>
      <c r="H17" s="63">
        <f>IFERROR(D17/G17,0)</f>
        <v/>
      </c>
      <c r="I17" s="61" t="n">
        <v>0</v>
      </c>
      <c r="J17" s="28">
        <f>IFERROR(I17/G17,0)</f>
        <v/>
      </c>
      <c r="K17" s="46" t="n">
        <v>50</v>
      </c>
      <c r="L17" s="172">
        <f>IFERROR(K17/SUM(G17),0)</f>
        <v/>
      </c>
      <c r="M17" s="247" t="n">
        <v>7676.65</v>
      </c>
      <c r="N17" s="89">
        <f>SUM(M17/D17)</f>
        <v/>
      </c>
      <c r="O17" s="247" t="n">
        <v>29275.61</v>
      </c>
      <c r="P17" s="89">
        <f>SUM(O17/D17)</f>
        <v/>
      </c>
      <c r="Q17" s="130" t="n">
        <v>3146</v>
      </c>
      <c r="R17" s="9" t="n"/>
    </row>
    <row r="18" ht="15.6" customHeight="1">
      <c r="A18" s="198" t="inlineStr">
        <is>
          <t>Queenswood</t>
        </is>
      </c>
      <c r="B18" s="200">
        <f>'31 August - 6 Sept 2020'!D18</f>
        <v/>
      </c>
      <c r="C18" s="73" t="n">
        <v>154325.2</v>
      </c>
      <c r="D18" s="145" t="n">
        <v>102846.8</v>
      </c>
      <c r="E18" s="163">
        <f>IFERROR((SUM(D18-C18)/C18),0)</f>
        <v/>
      </c>
      <c r="F18" s="155">
        <f>IFERROR((SUM(D18-B18)/B18),0)</f>
        <v/>
      </c>
      <c r="G18" s="150" t="n">
        <v>432</v>
      </c>
      <c r="H18" s="63">
        <f>IFERROR(D18/G18,0)</f>
        <v/>
      </c>
      <c r="I18" s="61" t="n">
        <v>0</v>
      </c>
      <c r="J18" s="28">
        <f>IFERROR(I18/G18,0)</f>
        <v/>
      </c>
      <c r="K18" s="46" t="n">
        <v>132</v>
      </c>
      <c r="L18" s="172">
        <f>IFERROR(K18/SUM(G18),0)</f>
        <v/>
      </c>
      <c r="M18" s="247" t="n">
        <v>9264.57</v>
      </c>
      <c r="N18" s="89">
        <f>SUM(M18/D18)</f>
        <v/>
      </c>
      <c r="O18" s="247" t="n">
        <v>15461.79</v>
      </c>
      <c r="P18" s="89">
        <f>SUM(O18/D18)</f>
        <v/>
      </c>
      <c r="Q18" s="130" t="n">
        <v>1167</v>
      </c>
      <c r="R18" s="9" t="n"/>
    </row>
    <row r="19" ht="16.2" customHeight="1" thickBot="1">
      <c r="A19" s="203" t="inlineStr">
        <is>
          <t>Centurion</t>
        </is>
      </c>
      <c r="B19" s="201">
        <f>'31 August - 6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/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'7 Sept - 13 Sept 2020'!D6</f>
        <v/>
      </c>
      <c r="C6" s="123" t="n">
        <v>313795.07</v>
      </c>
      <c r="D6" s="197" t="n">
        <v>186396.77</v>
      </c>
      <c r="E6" s="162">
        <f>IFERROR((SUM(D6-C6)/C6),0)</f>
        <v/>
      </c>
      <c r="F6" s="154">
        <f>IFERROR((SUM(D6-B6)/B6),0)</f>
        <v/>
      </c>
      <c r="G6" s="149" t="n">
        <v>597</v>
      </c>
      <c r="H6" s="124">
        <f>IFERROR(D6/G6,0)</f>
        <v/>
      </c>
      <c r="I6" s="125" t="n">
        <v>21</v>
      </c>
      <c r="J6" s="126">
        <f>IFERROR(I6/G6,0)</f>
        <v/>
      </c>
      <c r="K6" s="46">
        <f>50+I6</f>
        <v/>
      </c>
      <c r="L6" s="171">
        <f>IFERROR(K6/SUM(G6),0)</f>
        <v/>
      </c>
      <c r="M6" s="246" t="n">
        <v>2781.74</v>
      </c>
      <c r="N6" s="128">
        <f>SUM(M6/D6)</f>
        <v/>
      </c>
      <c r="O6" s="247" t="n">
        <v>16285.39</v>
      </c>
      <c r="P6" s="128">
        <f>SUM(O6/D6)</f>
        <v/>
      </c>
      <c r="Q6" s="129" t="n">
        <v>3576.5</v>
      </c>
      <c r="R6" s="26" t="n"/>
    </row>
    <row r="7" ht="15.6" customHeight="1">
      <c r="A7" s="409" t="inlineStr">
        <is>
          <t>Melrose Arch</t>
        </is>
      </c>
      <c r="B7" s="200">
        <f>'7 Sept - 13 Sept 2020'!D7</f>
        <v/>
      </c>
      <c r="C7" s="73" t="n">
        <v>220920.76</v>
      </c>
      <c r="D7" s="145" t="n">
        <v>147411.68</v>
      </c>
      <c r="E7" s="163">
        <f>IFERROR((SUM(D7-C7)/C7),0)</f>
        <v/>
      </c>
      <c r="F7" s="155">
        <f>IFERROR((SUM(D7-B7)/B7),0)</f>
        <v/>
      </c>
      <c r="G7" s="150" t="n">
        <v>542</v>
      </c>
      <c r="H7" s="63">
        <f>IFERROR(D7/G7,0)</f>
        <v/>
      </c>
      <c r="I7" s="61" t="n">
        <v>36</v>
      </c>
      <c r="J7" s="28">
        <f>IFERROR(I7/G7,0)</f>
        <v/>
      </c>
      <c r="K7" s="46">
        <f>116+I7</f>
        <v/>
      </c>
      <c r="L7" s="172">
        <f>IFERROR(K7/SUM(G7),0)</f>
        <v/>
      </c>
      <c r="M7" s="247" t="n">
        <v>24051.79</v>
      </c>
      <c r="N7" s="89">
        <f>SUM(M7/D7)</f>
        <v/>
      </c>
      <c r="O7" s="247" t="n">
        <v>11060.39</v>
      </c>
      <c r="P7" s="89">
        <f>SUM(O7/D7)</f>
        <v/>
      </c>
      <c r="Q7" s="130" t="n">
        <v>4331.45</v>
      </c>
      <c r="R7" s="26" t="n"/>
    </row>
    <row r="8" ht="15.6" customHeight="1">
      <c r="A8" s="409" t="inlineStr">
        <is>
          <t>Melville</t>
        </is>
      </c>
      <c r="B8" s="200">
        <f>'7 Sept - 13 Sept 2020'!D8</f>
        <v/>
      </c>
      <c r="C8" s="73" t="n">
        <v>112847.78</v>
      </c>
      <c r="D8" s="145" t="n">
        <v>98204.57000000001</v>
      </c>
      <c r="E8" s="163">
        <f>IFERROR((SUM(D8-C8)/C8),0)</f>
        <v/>
      </c>
      <c r="F8" s="155">
        <f>IFERROR((SUM(D8-B8)/B8),0)</f>
        <v/>
      </c>
      <c r="G8" s="150" t="n">
        <v>375</v>
      </c>
      <c r="H8" s="63">
        <f>IFERROR(D8/G8,0)</f>
        <v/>
      </c>
      <c r="I8" s="61" t="n">
        <v>9</v>
      </c>
      <c r="J8" s="28">
        <f>IFERROR(I8/G8,0)</f>
        <v/>
      </c>
      <c r="K8" s="46">
        <f>22+I8</f>
        <v/>
      </c>
      <c r="L8" s="172">
        <f>IFERROR(K8/SUM(G8),0)</f>
        <v/>
      </c>
      <c r="M8" s="247" t="n">
        <v>27024.61</v>
      </c>
      <c r="N8" s="89">
        <f>SUM(M8/D8)</f>
        <v/>
      </c>
      <c r="O8" s="247" t="n">
        <v>12439.57</v>
      </c>
      <c r="P8" s="89">
        <f>SUM(O8/D8)</f>
        <v/>
      </c>
      <c r="Q8" s="130" t="n">
        <v>1005</v>
      </c>
      <c r="R8" s="26" t="n"/>
    </row>
    <row r="9" ht="15.6" customHeight="1">
      <c r="A9" s="409" t="inlineStr">
        <is>
          <t>Rosebank</t>
        </is>
      </c>
      <c r="B9" s="200">
        <f>'7 Sept - 13 Sept 2020'!D9</f>
        <v/>
      </c>
      <c r="C9" s="73" t="n">
        <v>363369.98</v>
      </c>
      <c r="D9" s="145" t="n">
        <v>191314.49</v>
      </c>
      <c r="E9" s="163">
        <f>IFERROR((SUM(D9-C9)/C9),0)</f>
        <v/>
      </c>
      <c r="F9" s="155">
        <f>IFERROR((SUM(D9-B9)/B9),0)</f>
        <v/>
      </c>
      <c r="G9" s="150" t="n">
        <v>696</v>
      </c>
      <c r="H9" s="63">
        <f>IFERROR(D9/G9,0)</f>
        <v/>
      </c>
      <c r="I9" s="61" t="n">
        <v>36</v>
      </c>
      <c r="J9" s="28">
        <f>IFERROR(I9/G9,0)</f>
        <v/>
      </c>
      <c r="K9" s="46">
        <f>63+I9</f>
        <v/>
      </c>
      <c r="L9" s="172">
        <f>IFERROR(K9/SUM(G9),0)</f>
        <v/>
      </c>
      <c r="M9" s="247" t="n">
        <v>8660.299999999999</v>
      </c>
      <c r="N9" s="89">
        <f>SUM(M9/D9)</f>
        <v/>
      </c>
      <c r="O9" s="247" t="n">
        <v>10904.03</v>
      </c>
      <c r="P9" s="89">
        <f>SUM(O9/D9)</f>
        <v/>
      </c>
      <c r="Q9" s="130" t="n">
        <v>3630</v>
      </c>
      <c r="R9" s="26" t="n"/>
    </row>
    <row r="10" ht="15.6" customHeight="1">
      <c r="A10" s="411" t="inlineStr">
        <is>
          <t xml:space="preserve">Waterkloof </t>
        </is>
      </c>
      <c r="B10" s="200">
        <f>'7 Sept - 13 Sept 2020'!D10</f>
        <v/>
      </c>
      <c r="C10" s="73" t="n">
        <v>149468.42</v>
      </c>
      <c r="D10" s="145" t="n">
        <v>119965.3</v>
      </c>
      <c r="E10" s="163">
        <f>IFERROR((SUM(D10-C10)/C10),0)</f>
        <v/>
      </c>
      <c r="F10" s="155">
        <f>IFERROR((SUM(D10-B10)/B10),0)</f>
        <v/>
      </c>
      <c r="G10" s="150" t="n">
        <v>424</v>
      </c>
      <c r="H10" s="63">
        <f>IFERROR(D10/G10,0)</f>
        <v/>
      </c>
      <c r="I10" s="61" t="n">
        <v>22</v>
      </c>
      <c r="J10" s="28">
        <f>IFERROR(I10/G10,0)</f>
        <v/>
      </c>
      <c r="K10" s="46">
        <f>39+I10</f>
        <v/>
      </c>
      <c r="L10" s="172">
        <f>IFERROR(K10/SUM(G10),0)</f>
        <v/>
      </c>
      <c r="M10" s="247" t="n">
        <v>18776.61</v>
      </c>
      <c r="N10" s="89">
        <f>SUM(M10/D10)</f>
        <v/>
      </c>
      <c r="O10" s="247" t="n">
        <v>26233.13</v>
      </c>
      <c r="P10" s="89">
        <f>SUM(O10/D10)</f>
        <v/>
      </c>
      <c r="Q10" s="130" t="n">
        <v>1600.98</v>
      </c>
      <c r="R10" s="26" t="n"/>
    </row>
    <row r="11" ht="15.6" customHeight="1">
      <c r="A11" s="409" t="inlineStr">
        <is>
          <t>Eagles Landing</t>
        </is>
      </c>
      <c r="B11" s="200">
        <f>'7 Sept - 13 Sept 2020'!D11</f>
        <v/>
      </c>
      <c r="C11" s="73" t="n">
        <v>371983.14</v>
      </c>
      <c r="D11" s="145" t="n">
        <v>214047.72</v>
      </c>
      <c r="E11" s="163">
        <f>IFERROR((SUM(D11-C11)/C11),0)</f>
        <v/>
      </c>
      <c r="F11" s="155">
        <f>IFERROR((SUM(D11-B11)/B11),0)</f>
        <v/>
      </c>
      <c r="G11" s="150" t="n">
        <v>799</v>
      </c>
      <c r="H11" s="63">
        <f>IFERROR(D11/G11,0)</f>
        <v/>
      </c>
      <c r="I11" s="61" t="n">
        <v>73</v>
      </c>
      <c r="J11" s="28">
        <f>IFERROR(I11/G11,0)</f>
        <v/>
      </c>
      <c r="K11" s="46">
        <f>205+I11</f>
        <v/>
      </c>
      <c r="L11" s="172">
        <f>IFERROR(K11/SUM(G11),0)</f>
        <v/>
      </c>
      <c r="M11" s="247" t="n">
        <v>29422.13</v>
      </c>
      <c r="N11" s="89">
        <f>SUM(M11/D11)</f>
        <v/>
      </c>
      <c r="O11" s="247" t="n">
        <v>22067.83</v>
      </c>
      <c r="P11" s="89">
        <f>SUM(O11/D11)</f>
        <v/>
      </c>
      <c r="Q11" s="130" t="n">
        <v>4511.66</v>
      </c>
      <c r="R11" s="26" t="n"/>
    </row>
    <row r="12" ht="15.6" customHeight="1">
      <c r="A12" s="198" t="inlineStr">
        <is>
          <t>Stellenbosch</t>
        </is>
      </c>
      <c r="B12" s="200">
        <f>'7 Sept - 13 Sept 2020'!D12</f>
        <v/>
      </c>
      <c r="C12" s="73" t="n">
        <v>158117.67</v>
      </c>
      <c r="D12" s="145" t="n">
        <v>81184.59</v>
      </c>
      <c r="E12" s="163">
        <f>IFERROR((SUM(D12-C12)/C12),0)</f>
        <v/>
      </c>
      <c r="F12" s="155">
        <f>IFERROR((SUM(D12-B12)/B12),0)</f>
        <v/>
      </c>
      <c r="G12" s="150" t="n">
        <v>323</v>
      </c>
      <c r="H12" s="63">
        <f>IFERROR(D12/G12,0)</f>
        <v/>
      </c>
      <c r="I12" s="61" t="n">
        <v>44</v>
      </c>
      <c r="J12" s="28">
        <f>IFERROR(I12/G12,0)</f>
        <v/>
      </c>
      <c r="K12" s="46">
        <f>20+I12</f>
        <v/>
      </c>
      <c r="L12" s="172">
        <f>IFERROR(K12/SUM(G12),0)</f>
        <v/>
      </c>
      <c r="M12" s="247" t="n">
        <v>6408.57</v>
      </c>
      <c r="N12" s="89">
        <f>SUM(M12/D12)</f>
        <v/>
      </c>
      <c r="O12" s="247" t="n">
        <v>16358.26</v>
      </c>
      <c r="P12" s="89">
        <f>SUM(O12/D12)</f>
        <v/>
      </c>
      <c r="Q12" s="130" t="n">
        <v>210.5</v>
      </c>
      <c r="R12" s="26" t="n"/>
    </row>
    <row r="13" ht="15.6" customHeight="1">
      <c r="A13" s="198" t="inlineStr">
        <is>
          <t>Lynnwood</t>
        </is>
      </c>
      <c r="B13" s="200">
        <f>'7 Sept - 13 Sept 2020'!D13</f>
        <v/>
      </c>
      <c r="C13" s="73" t="n">
        <v>214469.54</v>
      </c>
      <c r="D13" s="145" t="n">
        <v>167682.77</v>
      </c>
      <c r="E13" s="163">
        <f>IFERROR((SUM(D13-C13)/C13),0)</f>
        <v/>
      </c>
      <c r="F13" s="155">
        <f>IFERROR((SUM(D13-B13)/B13),0)</f>
        <v/>
      </c>
      <c r="G13" s="150" t="n">
        <v>602</v>
      </c>
      <c r="H13" s="63">
        <f>IFERROR(D13/G13,0)</f>
        <v/>
      </c>
      <c r="I13" s="61" t="n">
        <v>47</v>
      </c>
      <c r="J13" s="28">
        <f>IFERROR(I13/G13,0)</f>
        <v/>
      </c>
      <c r="K13" s="46">
        <f>89+I13</f>
        <v/>
      </c>
      <c r="L13" s="172">
        <f>IFERROR(K13/SUM(G13),0)</f>
        <v/>
      </c>
      <c r="M13" s="247" t="n">
        <v>19327.61</v>
      </c>
      <c r="N13" s="89">
        <f>SUM(M13/D13)</f>
        <v/>
      </c>
      <c r="O13" s="247" t="n">
        <v>27780.43</v>
      </c>
      <c r="P13" s="89">
        <f>SUM(O13/D13)</f>
        <v/>
      </c>
      <c r="Q13" s="130" t="n">
        <v>2052.5</v>
      </c>
      <c r="R13" s="26" t="n"/>
    </row>
    <row r="14" hidden="1" ht="15.6" customHeight="1">
      <c r="A14" s="198" t="inlineStr">
        <is>
          <t>Wellington</t>
        </is>
      </c>
      <c r="B14" s="200">
        <f>'7 Sept - 13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 t="n"/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'7 Sept - 13 Sept 2020'!D15</f>
        <v/>
      </c>
      <c r="C15" s="73" t="n">
        <v>275297.55</v>
      </c>
      <c r="D15" s="145" t="n">
        <v>163505.59</v>
      </c>
      <c r="E15" s="163">
        <f>IFERROR((SUM(D15-C15)/C15),0)</f>
        <v/>
      </c>
      <c r="F15" s="155">
        <f>IFERROR((SUM(D15-B15)/B15),0)</f>
        <v/>
      </c>
      <c r="G15" s="150" t="n">
        <v>543</v>
      </c>
      <c r="H15" s="63">
        <f>IFERROR(D15/G15,0)</f>
        <v/>
      </c>
      <c r="I15" s="61" t="n">
        <v>81</v>
      </c>
      <c r="J15" s="28">
        <f>IFERROR(I15/G15,0)</f>
        <v/>
      </c>
      <c r="K15" s="46">
        <f>247+I15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15009.57</v>
      </c>
      <c r="P15" s="89">
        <f>SUM(O15/D15)</f>
        <v/>
      </c>
      <c r="Q15" s="130" t="n">
        <v>2096.2</v>
      </c>
      <c r="R15" s="9" t="n"/>
    </row>
    <row r="16" ht="15.6" customHeight="1">
      <c r="A16" s="198" t="inlineStr">
        <is>
          <t>Kyalami Corner</t>
        </is>
      </c>
      <c r="B16" s="200">
        <f>'7 Sept - 13 Sept 2020'!D16</f>
        <v/>
      </c>
      <c r="C16" s="73" t="n">
        <v>136655.46</v>
      </c>
      <c r="D16" s="145" t="n">
        <v>102940.88</v>
      </c>
      <c r="E16" s="163">
        <f>IFERROR((SUM(D16-C16)/C16),0)</f>
        <v/>
      </c>
      <c r="F16" s="155">
        <f>IFERROR((SUM(D16-B16)/B16),0)</f>
        <v/>
      </c>
      <c r="G16" s="150" t="n">
        <v>376</v>
      </c>
      <c r="H16" s="63">
        <f>IFERROR(D16/G16,0)</f>
        <v/>
      </c>
      <c r="I16" s="61" t="n">
        <v>9</v>
      </c>
      <c r="J16" s="28">
        <f>IFERROR(I16/G16,0)</f>
        <v/>
      </c>
      <c r="K16" s="46">
        <f>44+I16</f>
        <v/>
      </c>
      <c r="L16" s="172">
        <f>IFERROR(K16/SUM(G16),0)</f>
        <v/>
      </c>
      <c r="M16" s="247" t="n">
        <v>18553.61</v>
      </c>
      <c r="N16" s="89">
        <f>SUM(M16/D16)</f>
        <v/>
      </c>
      <c r="O16" s="247" t="n">
        <v>16741.65</v>
      </c>
      <c r="P16" s="89">
        <f>SUM(O16/D16)</f>
        <v/>
      </c>
      <c r="Q16" s="130" t="n">
        <v>2090.5</v>
      </c>
      <c r="R16" s="9" t="n"/>
      <c r="U16" s="238" t="n"/>
    </row>
    <row r="17" ht="15.6" customHeight="1">
      <c r="A17" s="251" t="inlineStr">
        <is>
          <t>Paulshof</t>
        </is>
      </c>
      <c r="B17" s="200">
        <f>'7 Sept - 13 Sept 2020'!D17</f>
        <v/>
      </c>
      <c r="C17" s="73" t="n">
        <v>243291.29</v>
      </c>
      <c r="D17" s="145" t="n">
        <v>174633.4</v>
      </c>
      <c r="E17" s="163">
        <f>IFERROR((SUM(D17-C17)/C17),0)</f>
        <v/>
      </c>
      <c r="F17" s="155">
        <f>IFERROR((SUM(D17-B17)/B17),0)</f>
        <v/>
      </c>
      <c r="G17" s="150" t="n">
        <v>607</v>
      </c>
      <c r="H17" s="63">
        <f>IFERROR(D17/G17,0)</f>
        <v/>
      </c>
      <c r="I17" s="61" t="n">
        <v>18</v>
      </c>
      <c r="J17" s="28">
        <f>IFERROR(I17/G17,0)</f>
        <v/>
      </c>
      <c r="K17" s="46">
        <f>50+I17</f>
        <v/>
      </c>
      <c r="L17" s="172">
        <f>IFERROR(K17/SUM(G17),0)</f>
        <v/>
      </c>
      <c r="M17" s="247" t="n">
        <v>6266.99</v>
      </c>
      <c r="N17" s="89">
        <f>SUM(M17/D17)</f>
        <v/>
      </c>
      <c r="O17" s="247" t="n">
        <v>30250.57</v>
      </c>
      <c r="P17" s="89">
        <f>SUM(O17/D17)</f>
        <v/>
      </c>
      <c r="Q17" s="130" t="n">
        <v>1807.5</v>
      </c>
      <c r="R17" s="9" t="n"/>
    </row>
    <row r="18" ht="15.6" customHeight="1">
      <c r="A18" s="198" t="inlineStr">
        <is>
          <t>Queenswood</t>
        </is>
      </c>
      <c r="B18" s="200">
        <f>'7 Sept - 13 Sept 2020'!D18</f>
        <v/>
      </c>
      <c r="C18" s="73" t="n">
        <v>178728.72</v>
      </c>
      <c r="D18" s="145" t="n">
        <v>146391.43</v>
      </c>
      <c r="E18" s="163">
        <f>IFERROR((SUM(D18-C18)/C18),0)</f>
        <v/>
      </c>
      <c r="F18" s="155">
        <f>IFERROR((SUM(D18-B18)/B18),0)</f>
        <v/>
      </c>
      <c r="G18" s="150" t="n">
        <v>522</v>
      </c>
      <c r="H18" s="63">
        <f>IFERROR(D18/G18,0)</f>
        <v/>
      </c>
      <c r="I18" s="61" t="n">
        <v>83</v>
      </c>
      <c r="J18" s="28">
        <f>IFERROR(I18/G18,0)</f>
        <v/>
      </c>
      <c r="K18" s="46">
        <f>132+I18</f>
        <v/>
      </c>
      <c r="L18" s="172">
        <f>IFERROR(K18/SUM(G18),0)</f>
        <v/>
      </c>
      <c r="M18" s="247" t="n">
        <v>9214.09</v>
      </c>
      <c r="N18" s="89">
        <f>SUM(M18/D18)</f>
        <v/>
      </c>
      <c r="O18" s="247" t="n">
        <v>19922.81</v>
      </c>
      <c r="P18" s="89">
        <f>SUM(O18/D18)</f>
        <v/>
      </c>
      <c r="Q18" s="130" t="n">
        <v>981.5</v>
      </c>
      <c r="R18" s="9" t="n"/>
    </row>
    <row r="19" ht="16.2" customHeight="1" thickBot="1">
      <c r="A19" s="203" t="inlineStr">
        <is>
          <t>Centurion</t>
        </is>
      </c>
      <c r="B19" s="201">
        <f>'7 Sept - 13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2.6640625" bestFit="1" customWidth="1" min="5" max="5"/>
    <col width="12.6640625" customWidth="1" min="6" max="6"/>
    <col width="11.44140625" bestFit="1" customWidth="1" min="7" max="7"/>
    <col width="13.44140625" bestFit="1" customWidth="1" min="8" max="8"/>
    <col width="9.44140625" customWidth="1" min="11" max="11"/>
    <col width="10.5546875" bestFit="1" customWidth="1" min="12" max="12"/>
    <col width="14.5546875" customWidth="1" min="13" max="13"/>
    <col width="11.6640625" bestFit="1" customWidth="1" min="14" max="14"/>
    <col width="13.6640625" customWidth="1" min="15" max="15"/>
    <col width="13.44140625" customWidth="1" min="16" max="16"/>
    <col width="12.6640625" bestFit="1" customWidth="1" min="17" max="1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14" t="inlineStr">
        <is>
          <t>% Organic</t>
        </is>
      </c>
      <c r="G1" s="7" t="n"/>
      <c r="H1" s="7" t="n"/>
      <c r="I1" s="7" t="n"/>
      <c r="J1" s="7" t="n"/>
      <c r="K1" s="7" t="inlineStr">
        <is>
          <t>.</t>
        </is>
      </c>
      <c r="L1" s="7" t="n"/>
      <c r="M1" s="7" t="inlineStr">
        <is>
          <t>.</t>
        </is>
      </c>
      <c r="N1" s="7" t="n"/>
      <c r="O1" s="7" t="n"/>
      <c r="P1" s="7" t="n"/>
      <c r="Q1" s="81" t="n"/>
      <c r="R1" s="9" t="n"/>
    </row>
    <row r="2" ht="15" customHeight="1" thickBot="1">
      <c r="A2" s="1" t="n"/>
      <c r="B2" s="1" t="n"/>
      <c r="C2" s="1" t="n"/>
      <c r="D2" s="1" t="n"/>
      <c r="E2" s="400">
        <f>(((D4-D19-C19)-C4)/C4)</f>
        <v/>
      </c>
      <c r="F2" s="400">
        <f>(((D4-D19-B19)-B4)/D4)</f>
        <v/>
      </c>
      <c r="G2" s="34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81" t="n"/>
      <c r="R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0" t="inlineStr">
        <is>
          <t>% to LY</t>
        </is>
      </c>
      <c r="F3" s="250" t="inlineStr">
        <is>
          <t>% to LW</t>
        </is>
      </c>
      <c r="G3" s="236" t="inlineStr">
        <is>
          <t>Invoices</t>
        </is>
      </c>
      <c r="H3" s="250" t="inlineStr">
        <is>
          <t>Avg Spend</t>
        </is>
      </c>
      <c r="I3" s="113" t="inlineStr">
        <is>
          <t>PROMO Weekly</t>
        </is>
      </c>
      <c r="J3" s="113" t="inlineStr">
        <is>
          <t>% To Covers</t>
        </is>
      </c>
      <c r="K3" s="113" t="inlineStr">
        <is>
          <t>Promo to Date</t>
        </is>
      </c>
      <c r="L3" s="113" t="inlineStr">
        <is>
          <t>% To Date</t>
        </is>
      </c>
      <c r="M3" s="113" t="inlineStr">
        <is>
          <t>Uber / Mr D Deliveries</t>
        </is>
      </c>
      <c r="N3" s="113" t="inlineStr">
        <is>
          <t>% To Date</t>
        </is>
      </c>
      <c r="O3" s="177" t="inlineStr">
        <is>
          <t>WhatsApp</t>
        </is>
      </c>
      <c r="P3" s="177" t="inlineStr">
        <is>
          <t>WhatsApp % of TO</t>
        </is>
      </c>
      <c r="Q3" s="402" t="inlineStr">
        <is>
          <t>Discounts</t>
        </is>
      </c>
      <c r="R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217">
        <f>IFERROR((SUM(D4-C4)/C4),0)</f>
        <v/>
      </c>
      <c r="F4" s="217">
        <f>IFERROR((SUM(D4-B4)/D4),0)</f>
        <v/>
      </c>
      <c r="G4" s="147">
        <f>SUM(G6:G19)</f>
        <v/>
      </c>
      <c r="H4" s="218">
        <f>AVERAGE(H5:H19)</f>
        <v/>
      </c>
      <c r="I4" s="219">
        <f>SUM(I6:I19)</f>
        <v/>
      </c>
      <c r="J4" s="220">
        <f>IFERROR(I4/G4,0)</f>
        <v/>
      </c>
      <c r="K4" s="221">
        <f>SUM(K6:K19)</f>
        <v/>
      </c>
      <c r="L4" s="222">
        <f>IFERROR(K4/SUM(G4),0)</f>
        <v/>
      </c>
      <c r="M4" s="249">
        <f>SUM(M6:M19)</f>
        <v/>
      </c>
      <c r="N4" s="222">
        <f>SUM(M4/D4)</f>
        <v/>
      </c>
      <c r="O4" s="244">
        <f>SUM(O6:O19)</f>
        <v/>
      </c>
      <c r="P4" s="222">
        <f>SUM(O4/D4)</f>
        <v/>
      </c>
      <c r="Q4" s="141">
        <f>SUM(Q6:Q19)</f>
        <v/>
      </c>
      <c r="R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153">
        <f>IFERROR((SUM(D5-C5)/C5),0)</f>
        <v/>
      </c>
      <c r="F5" s="153">
        <f>IFERROR((SUM(E5-D5)/D5),0)</f>
        <v/>
      </c>
      <c r="G5" s="148" t="n"/>
      <c r="H5" s="119" t="n"/>
      <c r="I5" s="118" t="n"/>
      <c r="J5" s="120">
        <f>IFERROR(I5/G5,0)</f>
        <v/>
      </c>
      <c r="K5" s="121">
        <f>I5+'Nov 19 - Nov 25'!J5+'Nov 26 - Dec 2'!J5+'Dec 3 - Dec 9'!J5+'Dec 10 - Dec 16'!J5+'Dec 17 - Dec 23'!J5+'Dec 24 - Dec 30'!J5</f>
        <v/>
      </c>
      <c r="L5" s="122">
        <f>IFERROR(K5/SUM(G5),0)</f>
        <v/>
      </c>
      <c r="M5" s="245">
        <f>I5+'Nov 19 - Nov 25'!I5+'Nov 26 - Dec 2'!I5+'Dec 3 - Dec 9'!I5+'Dec 10 - Dec 16'!I5+'Dec 17 - Dec 23'!I5+'Dec 24 - Dec 30'!I5</f>
        <v/>
      </c>
      <c r="N5" s="122">
        <f>IFERROR(M5/SUM(G5),0)</f>
        <v/>
      </c>
      <c r="O5" s="245" t="n"/>
      <c r="P5" s="122" t="n"/>
      <c r="Q5" s="71" t="n"/>
      <c r="R5" s="25" t="n"/>
    </row>
    <row r="6" ht="16.5" customHeight="1">
      <c r="A6" s="408" t="inlineStr">
        <is>
          <t>Irene Village</t>
        </is>
      </c>
      <c r="B6" s="200">
        <f>'14 Sept - 20 Sept 2020'!D6</f>
        <v/>
      </c>
      <c r="C6" s="123" t="n">
        <v>313795.07</v>
      </c>
      <c r="D6" s="197" t="n">
        <v>193260.1</v>
      </c>
      <c r="E6" s="162">
        <f>IFERROR((SUM(D6-C6)/C6),0)</f>
        <v/>
      </c>
      <c r="F6" s="154">
        <f>IFERROR((SUM(D6-B6)/B6),0)</f>
        <v/>
      </c>
      <c r="G6" s="149" t="n">
        <v>634</v>
      </c>
      <c r="H6" s="124">
        <f>IFERROR(D6/G6,0)</f>
        <v/>
      </c>
      <c r="I6" s="125" t="n">
        <v>70</v>
      </c>
      <c r="J6" s="126">
        <f>IFERROR(I6/G6,0)</f>
        <v/>
      </c>
      <c r="K6" s="46">
        <f>'7 Sept - 13 Sept 2020'!K6+'14 Sept - 20 Sept 2020'!I6+'21 Sept - 27 Sept 2020'!I6</f>
        <v/>
      </c>
      <c r="L6" s="171">
        <f>IFERROR(K6/SUM(G6),0)</f>
        <v/>
      </c>
      <c r="M6" s="246" t="n">
        <v>20960.83</v>
      </c>
      <c r="N6" s="128">
        <f>SUM(M6/D6)</f>
        <v/>
      </c>
      <c r="O6" s="247" t="n">
        <v>1922.35</v>
      </c>
      <c r="P6" s="128">
        <f>SUM(O6/D6)</f>
        <v/>
      </c>
      <c r="Q6" s="129" t="n">
        <v>3291.4</v>
      </c>
      <c r="R6" s="26" t="n"/>
    </row>
    <row r="7" ht="15.6" customHeight="1">
      <c r="A7" s="409" t="inlineStr">
        <is>
          <t>Melrose Arch</t>
        </is>
      </c>
      <c r="B7" s="200">
        <f>'14 Sept - 20 Sept 2020'!D7</f>
        <v/>
      </c>
      <c r="C7" s="73" t="n">
        <v>220920.76</v>
      </c>
      <c r="D7" s="145" t="n">
        <v>188913.6</v>
      </c>
      <c r="E7" s="163">
        <f>IFERROR((SUM(D7-C7)/C7),0)</f>
        <v/>
      </c>
      <c r="F7" s="155">
        <f>IFERROR((SUM(D7-B7)/B7),0)</f>
        <v/>
      </c>
      <c r="G7" s="150" t="n">
        <v>719</v>
      </c>
      <c r="H7" s="63">
        <f>IFERROR(D7/G7,0)</f>
        <v/>
      </c>
      <c r="I7" s="61" t="n">
        <v>46</v>
      </c>
      <c r="J7" s="28">
        <f>IFERROR(I7/G7,0)</f>
        <v/>
      </c>
      <c r="K7" s="46">
        <f>'7 Sept - 13 Sept 2020'!K7+'14 Sept - 20 Sept 2020'!I7+'21 Sept - 27 Sept 2020'!I7</f>
        <v/>
      </c>
      <c r="L7" s="172">
        <f>IFERROR(K7/SUM(G7),0)</f>
        <v/>
      </c>
      <c r="M7" s="247" t="n">
        <v>23871.02</v>
      </c>
      <c r="N7" s="89">
        <f>SUM(M7/D7)</f>
        <v/>
      </c>
      <c r="O7" s="247" t="n">
        <v>14928.04</v>
      </c>
      <c r="P7" s="89">
        <f>SUM(O7/D7)</f>
        <v/>
      </c>
      <c r="Q7" s="130" t="n">
        <v>8375.9</v>
      </c>
      <c r="R7" s="26" t="n"/>
    </row>
    <row r="8" ht="15.6" customHeight="1">
      <c r="A8" s="409" t="inlineStr">
        <is>
          <t>Melville</t>
        </is>
      </c>
      <c r="B8" s="200">
        <f>'14 Sept - 20 Sept 2020'!D8</f>
        <v/>
      </c>
      <c r="C8" s="73" t="n">
        <v>112847.78</v>
      </c>
      <c r="D8" s="145" t="n">
        <v>89530.67999999999</v>
      </c>
      <c r="E8" s="163">
        <f>IFERROR((SUM(D8-C8)/C8),0)</f>
        <v/>
      </c>
      <c r="F8" s="155">
        <f>IFERROR((SUM(D8-B8)/B8),0)</f>
        <v/>
      </c>
      <c r="G8" s="150" t="n">
        <v>351</v>
      </c>
      <c r="H8" s="63">
        <f>IFERROR(D8/G8,0)</f>
        <v/>
      </c>
      <c r="I8" s="61" t="n">
        <v>8</v>
      </c>
      <c r="J8" s="28">
        <f>IFERROR(I8/G8,0)</f>
        <v/>
      </c>
      <c r="K8" s="46">
        <f>'7 Sept - 13 Sept 2020'!K8+'14 Sept - 20 Sept 2020'!I8+'21 Sept - 27 Sept 2020'!I8</f>
        <v/>
      </c>
      <c r="L8" s="172">
        <f>IFERROR(K8/SUM(G8),0)</f>
        <v/>
      </c>
      <c r="M8" s="247" t="n">
        <v>25949.37</v>
      </c>
      <c r="N8" s="89">
        <f>SUM(M8/D8)</f>
        <v/>
      </c>
      <c r="O8" s="247" t="n">
        <v>9576.959999999999</v>
      </c>
      <c r="P8" s="89">
        <f>SUM(O8/D8)</f>
        <v/>
      </c>
      <c r="Q8" s="130" t="n">
        <v>1189</v>
      </c>
      <c r="R8" s="26" t="n"/>
    </row>
    <row r="9" ht="15.6" customHeight="1">
      <c r="A9" s="409" t="inlineStr">
        <is>
          <t>Rosebank</t>
        </is>
      </c>
      <c r="B9" s="200">
        <f>'14 Sept - 20 Sept 2020'!D9</f>
        <v/>
      </c>
      <c r="C9" s="73" t="n">
        <v>363369.98</v>
      </c>
      <c r="D9" s="145" t="n">
        <v>200774.8</v>
      </c>
      <c r="E9" s="163">
        <f>IFERROR((SUM(D9-C9)/C9),0)</f>
        <v/>
      </c>
      <c r="F9" s="155">
        <f>IFERROR((SUM(D9-B9)/B9),0)</f>
        <v/>
      </c>
      <c r="G9" s="150" t="n">
        <v>713</v>
      </c>
      <c r="H9" s="63">
        <f>IFERROR(D9/G9,0)</f>
        <v/>
      </c>
      <c r="I9" s="61" t="n">
        <v>20</v>
      </c>
      <c r="J9" s="28">
        <f>IFERROR(I9/G9,0)</f>
        <v/>
      </c>
      <c r="K9" s="46">
        <f>'7 Sept - 13 Sept 2020'!K9+'14 Sept - 20 Sept 2020'!I9+'21 Sept - 27 Sept 2020'!I9</f>
        <v/>
      </c>
      <c r="L9" s="172">
        <f>IFERROR(K9/SUM(G9),0)</f>
        <v/>
      </c>
      <c r="M9" s="247" t="n">
        <v>4005.39</v>
      </c>
      <c r="N9" s="89">
        <f>SUM(M9/D9)</f>
        <v/>
      </c>
      <c r="O9" s="247" t="n">
        <v>16072.65</v>
      </c>
      <c r="P9" s="89">
        <f>SUM(O9/D9)</f>
        <v/>
      </c>
      <c r="Q9" s="130" t="n">
        <v>3020</v>
      </c>
      <c r="R9" s="26" t="n"/>
    </row>
    <row r="10" ht="15.6" customHeight="1">
      <c r="A10" s="411" t="inlineStr">
        <is>
          <t xml:space="preserve">Waterkloof </t>
        </is>
      </c>
      <c r="B10" s="200">
        <f>'14 Sept - 20 Sept 2020'!D10</f>
        <v/>
      </c>
      <c r="C10" s="73" t="n">
        <v>149468.42</v>
      </c>
      <c r="D10" s="145" t="n">
        <v>103165.87</v>
      </c>
      <c r="E10" s="163">
        <f>IFERROR((SUM(D10-C10)/C10),0)</f>
        <v/>
      </c>
      <c r="F10" s="155">
        <f>IFERROR((SUM(D10-B10)/B10),0)</f>
        <v/>
      </c>
      <c r="G10" s="150" t="n">
        <v>310</v>
      </c>
      <c r="H10" s="63">
        <f>IFERROR(D10/G10,0)</f>
        <v/>
      </c>
      <c r="I10" s="61" t="n">
        <v>9</v>
      </c>
      <c r="J10" s="28">
        <f>IFERROR(I10/G10,0)</f>
        <v/>
      </c>
      <c r="K10" s="46">
        <f>'7 Sept - 13 Sept 2020'!K10+'14 Sept - 20 Sept 2020'!I10+'21 Sept - 27 Sept 2020'!I10</f>
        <v/>
      </c>
      <c r="L10" s="172">
        <f>IFERROR(K10/SUM(G10),0)</f>
        <v/>
      </c>
      <c r="M10" s="247" t="n">
        <v>16489.57</v>
      </c>
      <c r="N10" s="89">
        <f>SUM(M10/D10)</f>
        <v/>
      </c>
      <c r="O10" s="247" t="n">
        <v>17121.78</v>
      </c>
      <c r="P10" s="89">
        <f>SUM(O10/D10)</f>
        <v/>
      </c>
      <c r="Q10" s="130" t="n">
        <v>1706.5</v>
      </c>
      <c r="R10" s="26" t="n"/>
    </row>
    <row r="11" ht="15.6" customHeight="1">
      <c r="A11" s="409" t="inlineStr">
        <is>
          <t>Eagles Landing</t>
        </is>
      </c>
      <c r="B11" s="200">
        <f>'14 Sept - 20 Sept 2020'!D11</f>
        <v/>
      </c>
      <c r="C11" s="73" t="n">
        <v>371983.14</v>
      </c>
      <c r="D11" s="145" t="n">
        <v>228682.9</v>
      </c>
      <c r="E11" s="163">
        <f>IFERROR((SUM(D11-C11)/C11),0)</f>
        <v/>
      </c>
      <c r="F11" s="155">
        <f>IFERROR((SUM(D11-B11)/B11),0)</f>
        <v/>
      </c>
      <c r="G11" s="150" t="n">
        <v>822</v>
      </c>
      <c r="H11" s="63">
        <f>IFERROR(D11/G11,0)</f>
        <v/>
      </c>
      <c r="I11" s="61" t="n">
        <v>46</v>
      </c>
      <c r="J11" s="28">
        <f>IFERROR(I11/G11,0)</f>
        <v/>
      </c>
      <c r="K11" s="46">
        <f>'7 Sept - 13 Sept 2020'!K11+'14 Sept - 20 Sept 2020'!I11+'21 Sept - 27 Sept 2020'!I11</f>
        <v/>
      </c>
      <c r="L11" s="172">
        <f>IFERROR(K11/SUM(G11),0)</f>
        <v/>
      </c>
      <c r="M11" s="247" t="n">
        <v>36689.05</v>
      </c>
      <c r="N11" s="89">
        <f>SUM(M11/D11)</f>
        <v/>
      </c>
      <c r="O11" s="247" t="n">
        <v>19739.13</v>
      </c>
      <c r="P11" s="89">
        <f>SUM(O11/D11)</f>
        <v/>
      </c>
      <c r="Q11" s="130" t="n">
        <v>3056.4</v>
      </c>
      <c r="R11" s="26" t="n"/>
    </row>
    <row r="12" ht="15.6" customHeight="1">
      <c r="A12" s="198" t="inlineStr">
        <is>
          <t>Stellenbosch</t>
        </is>
      </c>
      <c r="B12" s="200">
        <f>'14 Sept - 20 Sept 2020'!D12</f>
        <v/>
      </c>
      <c r="C12" s="73" t="n">
        <v>158117.67</v>
      </c>
      <c r="D12" s="145" t="n">
        <v>81582.96000000001</v>
      </c>
      <c r="E12" s="163">
        <f>IFERROR((SUM(D12-C12)/C12),0)</f>
        <v/>
      </c>
      <c r="F12" s="155">
        <f>IFERROR((SUM(D12-B12)/B12),0)</f>
        <v/>
      </c>
      <c r="G12" s="150" t="n">
        <v>294</v>
      </c>
      <c r="H12" s="63">
        <f>IFERROR(D12/G12,0)</f>
        <v/>
      </c>
      <c r="I12" s="61" t="n">
        <v>24</v>
      </c>
      <c r="J12" s="28">
        <f>IFERROR(I12/G12,0)</f>
        <v/>
      </c>
      <c r="K12" s="46">
        <f>'7 Sept - 13 Sept 2020'!K12+'14 Sept - 20 Sept 2020'!I12+'21 Sept - 27 Sept 2020'!I12</f>
        <v/>
      </c>
      <c r="L12" s="172">
        <f>IFERROR(K12/SUM(G12),0)</f>
        <v/>
      </c>
      <c r="M12" s="247" t="n">
        <v>5695.54</v>
      </c>
      <c r="N12" s="89">
        <f>SUM(M12/D12)</f>
        <v/>
      </c>
      <c r="O12" s="247" t="n">
        <v>15061.83</v>
      </c>
      <c r="P12" s="89">
        <f>SUM(O12/D12)</f>
        <v/>
      </c>
      <c r="Q12" s="130" t="n">
        <v>760.5</v>
      </c>
      <c r="R12" s="26" t="n"/>
    </row>
    <row r="13" ht="15.6" customHeight="1">
      <c r="A13" s="198" t="inlineStr">
        <is>
          <t>Lynnwood</t>
        </is>
      </c>
      <c r="B13" s="200">
        <f>'14 Sept - 20 Sept 2020'!D13</f>
        <v/>
      </c>
      <c r="C13" s="73" t="n">
        <v>214469.54</v>
      </c>
      <c r="D13" s="145" t="n">
        <v>137655.6</v>
      </c>
      <c r="E13" s="163">
        <f>IFERROR((SUM(D13-C13)/C13),0)</f>
        <v/>
      </c>
      <c r="F13" s="155">
        <f>IFERROR((SUM(D13-B13)/B13),0)</f>
        <v/>
      </c>
      <c r="G13" s="150" t="n">
        <v>575</v>
      </c>
      <c r="H13" s="63">
        <f>IFERROR(D13/G13,0)</f>
        <v/>
      </c>
      <c r="I13" s="61" t="n">
        <v>54</v>
      </c>
      <c r="J13" s="28">
        <f>IFERROR(I13/G13,0)</f>
        <v/>
      </c>
      <c r="K13" s="46">
        <f>'7 Sept - 13 Sept 2020'!K13+'14 Sept - 20 Sept 2020'!I13+'21 Sept - 27 Sept 2020'!I13</f>
        <v/>
      </c>
      <c r="L13" s="172">
        <f>IFERROR(K13/SUM(G13),0)</f>
        <v/>
      </c>
      <c r="M13" s="247" t="n">
        <v>13790.62</v>
      </c>
      <c r="N13" s="89">
        <f>SUM(M13/D13)</f>
        <v/>
      </c>
      <c r="O13" s="247" t="n">
        <v>28303.3</v>
      </c>
      <c r="P13" s="89">
        <f>SUM(O13/D13)</f>
        <v/>
      </c>
      <c r="Q13" s="130" t="n">
        <v>2120</v>
      </c>
      <c r="R13" s="26" t="n"/>
    </row>
    <row r="14" hidden="1" ht="15.6" customHeight="1">
      <c r="A14" s="198" t="inlineStr">
        <is>
          <t>Wellington</t>
        </is>
      </c>
      <c r="B14" s="200">
        <f>'14 Sept - 20 Sept 2020'!D14</f>
        <v/>
      </c>
      <c r="C14" s="73" t="n"/>
      <c r="D14" s="145" t="n"/>
      <c r="E14" s="163">
        <f>IFERROR((SUM(D14-C14)/C14),0)</f>
        <v/>
      </c>
      <c r="F14" s="155">
        <f>IFERROR((SUM(D14-B14)/B14),0)</f>
        <v/>
      </c>
      <c r="G14" s="150" t="n"/>
      <c r="H14" s="63">
        <f>IFERROR(D14/G14,0)</f>
        <v/>
      </c>
      <c r="I14" s="61" t="n"/>
      <c r="J14" s="28">
        <f>IFERROR(I14/G14,0)</f>
        <v/>
      </c>
      <c r="K14" s="46">
        <f>'7 Sept - 13 Sept 2020'!K14+'14 Sept - 20 Sept 2020'!I14+'21 Sept - 27 Sept 2020'!I14</f>
        <v/>
      </c>
      <c r="L14" s="172">
        <f>IFERROR(K14/SUM(G14),0)</f>
        <v/>
      </c>
      <c r="M14" s="247" t="n"/>
      <c r="N14" s="89">
        <f>SUM(M14/D14)</f>
        <v/>
      </c>
      <c r="O14" s="247" t="n"/>
      <c r="P14" s="89">
        <f>SUM(O14/D14)</f>
        <v/>
      </c>
      <c r="Q14" s="130" t="n"/>
      <c r="R14" s="26" t="n"/>
    </row>
    <row r="15" ht="15.6" customHeight="1">
      <c r="A15" s="198" t="inlineStr">
        <is>
          <t>Hartenbos</t>
        </is>
      </c>
      <c r="B15" s="200">
        <f>'14 Sept - 20 Sept 2020'!D15</f>
        <v/>
      </c>
      <c r="C15" s="73" t="n">
        <v>275297.55</v>
      </c>
      <c r="D15" s="145" t="n">
        <v>291679.7</v>
      </c>
      <c r="E15" s="163">
        <f>IFERROR((SUM(D15-C15)/C15),0)</f>
        <v/>
      </c>
      <c r="F15" s="155">
        <f>IFERROR((SUM(D15-B15)/B15),0)</f>
        <v/>
      </c>
      <c r="G15" s="150" t="n">
        <v>868</v>
      </c>
      <c r="H15" s="63">
        <f>IFERROR(D15/G15,0)</f>
        <v/>
      </c>
      <c r="I15" s="61" t="n">
        <v>87</v>
      </c>
      <c r="J15" s="28">
        <f>IFERROR(I15/G15,0)</f>
        <v/>
      </c>
      <c r="K15" s="46">
        <f>'7 Sept - 13 Sept 2020'!K15+'14 Sept - 20 Sept 2020'!I15+'21 Sept - 27 Sept 2020'!I15</f>
        <v/>
      </c>
      <c r="L15" s="172">
        <f>IFERROR(K15/SUM(G15),0)</f>
        <v/>
      </c>
      <c r="M15" s="247" t="n">
        <v>0</v>
      </c>
      <c r="N15" s="89">
        <f>SUM(M15/D15)</f>
        <v/>
      </c>
      <c r="O15" s="247" t="n">
        <v>24501.3</v>
      </c>
      <c r="P15" s="89">
        <f>SUM(O15/D15)</f>
        <v/>
      </c>
      <c r="Q15" s="130" t="n">
        <v>1209.2</v>
      </c>
      <c r="R15" s="9" t="n"/>
    </row>
    <row r="16" ht="15.6" customHeight="1">
      <c r="A16" s="198" t="inlineStr">
        <is>
          <t>Kyalami Corner</t>
        </is>
      </c>
      <c r="B16" s="200">
        <f>'14 Sept - 20 Sept 2020'!D16</f>
        <v/>
      </c>
      <c r="C16" s="73" t="n">
        <v>136655.46</v>
      </c>
      <c r="D16" s="145" t="n">
        <v>96179.64999999999</v>
      </c>
      <c r="E16" s="163">
        <f>IFERROR((SUM(D16-C16)/C16),0)</f>
        <v/>
      </c>
      <c r="F16" s="155">
        <f>IFERROR((SUM(D16-B16)/B16),0)</f>
        <v/>
      </c>
      <c r="G16" s="150" t="n">
        <v>391</v>
      </c>
      <c r="H16" s="63">
        <f>IFERROR(D16/G16,0)</f>
        <v/>
      </c>
      <c r="I16" s="61" t="n">
        <v>24</v>
      </c>
      <c r="J16" s="28">
        <f>IFERROR(I16/G16,0)</f>
        <v/>
      </c>
      <c r="K16" s="46">
        <f>'7 Sept - 13 Sept 2020'!K16+'14 Sept - 20 Sept 2020'!I16+'21 Sept - 27 Sept 2020'!I16</f>
        <v/>
      </c>
      <c r="L16" s="172">
        <f>IFERROR(K16/SUM(G16),0)</f>
        <v/>
      </c>
      <c r="M16" s="247" t="n">
        <v>20481.72</v>
      </c>
      <c r="N16" s="89">
        <f>SUM(M16/D16)</f>
        <v/>
      </c>
      <c r="O16" s="247" t="n">
        <v>12724.17</v>
      </c>
      <c r="P16" s="89">
        <f>SUM(O16/D16)</f>
        <v/>
      </c>
      <c r="Q16" s="130" t="n">
        <v>3042.5</v>
      </c>
      <c r="R16" s="9" t="n"/>
      <c r="U16" s="238" t="n"/>
    </row>
    <row r="17" ht="15.6" customHeight="1">
      <c r="A17" s="251" t="inlineStr">
        <is>
          <t>Paulshof</t>
        </is>
      </c>
      <c r="B17" s="200">
        <f>'14 Sept - 20 Sept 2020'!D17</f>
        <v/>
      </c>
      <c r="C17" s="73" t="n">
        <v>243291.29</v>
      </c>
      <c r="D17" s="145" t="n">
        <v>167831.4</v>
      </c>
      <c r="E17" s="163">
        <f>IFERROR((SUM(D17-C17)/C17),0)</f>
        <v/>
      </c>
      <c r="F17" s="155">
        <f>IFERROR((SUM(D17-B17)/B17),0)</f>
        <v/>
      </c>
      <c r="G17" s="150" t="n">
        <v>636</v>
      </c>
      <c r="H17" s="63">
        <f>IFERROR(D17/G17,0)</f>
        <v/>
      </c>
      <c r="I17" s="61" t="n">
        <v>16</v>
      </c>
      <c r="J17" s="28">
        <f>IFERROR(I17/G17,0)</f>
        <v/>
      </c>
      <c r="K17" s="46">
        <f>'7 Sept - 13 Sept 2020'!K17+'14 Sept - 20 Sept 2020'!I17+'21 Sept - 27 Sept 2020'!I17</f>
        <v/>
      </c>
      <c r="L17" s="172">
        <f>IFERROR(K17/SUM(G17),0)</f>
        <v/>
      </c>
      <c r="M17" s="247" t="n">
        <v>12841.1</v>
      </c>
      <c r="N17" s="89">
        <f>SUM(M17/D17)</f>
        <v/>
      </c>
      <c r="O17" s="247" t="n">
        <v>36373.22</v>
      </c>
      <c r="P17" s="89">
        <f>SUM(O17/D17)</f>
        <v/>
      </c>
      <c r="Q17" s="130" t="n">
        <v>1680</v>
      </c>
      <c r="R17" s="9" t="n"/>
    </row>
    <row r="18" ht="15.6" customHeight="1">
      <c r="A18" s="198" t="inlineStr">
        <is>
          <t>Queenswood</t>
        </is>
      </c>
      <c r="B18" s="200">
        <f>'14 Sept - 20 Sept 2020'!D18</f>
        <v/>
      </c>
      <c r="C18" s="73" t="n">
        <v>178728.72</v>
      </c>
      <c r="D18" s="145" t="n">
        <v>121073.1</v>
      </c>
      <c r="E18" s="163">
        <f>IFERROR((SUM(D18-C18)/C18),0)</f>
        <v/>
      </c>
      <c r="F18" s="155">
        <f>IFERROR((SUM(D18-B18)/B18),0)</f>
        <v/>
      </c>
      <c r="G18" s="150" t="n">
        <v>482</v>
      </c>
      <c r="H18" s="63">
        <f>IFERROR(D18/G18,0)</f>
        <v/>
      </c>
      <c r="I18" s="61" t="n">
        <v>69</v>
      </c>
      <c r="J18" s="28">
        <f>IFERROR(I18/G18,0)</f>
        <v/>
      </c>
      <c r="K18" s="46">
        <f>'7 Sept - 13 Sept 2020'!K18+'14 Sept - 20 Sept 2020'!I18+'21 Sept - 27 Sept 2020'!I18</f>
        <v/>
      </c>
      <c r="L18" s="172">
        <f>IFERROR(K18/SUM(G18),0)</f>
        <v/>
      </c>
      <c r="M18" s="247" t="n">
        <v>12612.38</v>
      </c>
      <c r="N18" s="89">
        <f>SUM(M18/D18)</f>
        <v/>
      </c>
      <c r="O18" s="247" t="n">
        <v>18758.78</v>
      </c>
      <c r="P18" s="89">
        <f>SUM(O18/D18)</f>
        <v/>
      </c>
      <c r="Q18" s="130" t="n">
        <v>2788.8</v>
      </c>
      <c r="R18" s="9" t="n"/>
    </row>
    <row r="19" ht="16.2" customHeight="1" thickBot="1">
      <c r="A19" s="203" t="inlineStr">
        <is>
          <t>Centurion</t>
        </is>
      </c>
      <c r="B19" s="201">
        <f>'14 Sept - 20 Sept 2020'!D19</f>
        <v/>
      </c>
      <c r="C19" s="205" t="n">
        <v>0</v>
      </c>
      <c r="D19" s="206" t="n">
        <v>0</v>
      </c>
      <c r="E19" s="207">
        <f>IFERROR((SUM(D19-C19)/C19),0)</f>
        <v/>
      </c>
      <c r="F19" s="156">
        <f>IFERROR((SUM(D19-B19)/B19),0)</f>
        <v/>
      </c>
      <c r="G19" s="151" t="n">
        <v>0</v>
      </c>
      <c r="H19" s="132">
        <f>IFERROR(D19/G19,0)</f>
        <v/>
      </c>
      <c r="I19" s="133" t="n">
        <v>0</v>
      </c>
      <c r="J19" s="114">
        <f>IFERROR(I19/G19,0)</f>
        <v/>
      </c>
      <c r="K19" s="212" t="n">
        <v>0</v>
      </c>
      <c r="L19" s="213">
        <f>IFERROR(K19/SUM(G19),0)</f>
        <v/>
      </c>
      <c r="M19" s="248" t="n">
        <v>0</v>
      </c>
      <c r="N19" s="116">
        <f>SUM(M19/D19)</f>
        <v/>
      </c>
      <c r="O19" s="248" t="n">
        <v>0</v>
      </c>
      <c r="P19" s="116">
        <f>SUM(O19/D19)</f>
        <v/>
      </c>
      <c r="Q19" s="134" t="n">
        <v>0</v>
      </c>
      <c r="R19" s="9" t="n"/>
    </row>
    <row r="20">
      <c r="A20" s="81" t="n"/>
      <c r="B20" s="81" t="n"/>
      <c r="C20" s="81" t="n"/>
      <c r="D20" s="395" t="n"/>
      <c r="E20" s="81" t="n"/>
      <c r="F20" s="81" t="n"/>
      <c r="G20" s="396" t="n"/>
      <c r="H20" s="397" t="n"/>
      <c r="I20" s="91" t="n"/>
      <c r="J20" s="397" t="n"/>
      <c r="K20" s="397" t="n"/>
      <c r="L20" s="397" t="n"/>
      <c r="M20" s="397" t="n"/>
      <c r="N20" s="397" t="n"/>
      <c r="O20" s="397" t="n"/>
      <c r="P20" s="397" t="n"/>
      <c r="Q20" s="397" t="n"/>
      <c r="R20" s="9" t="n"/>
    </row>
    <row r="21">
      <c r="A21" s="81" t="n"/>
      <c r="B21" s="81" t="n"/>
      <c r="C21" s="81" t="n"/>
      <c r="D21" s="83" t="n"/>
      <c r="E21" s="81" t="n"/>
      <c r="F21" s="81" t="n"/>
      <c r="G21" s="82" t="n"/>
      <c r="H21" s="81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9" t="n"/>
    </row>
    <row r="22">
      <c r="A22" s="81" t="n"/>
      <c r="B22" s="81" t="n"/>
      <c r="C22" s="81" t="n"/>
      <c r="D22" s="83" t="n"/>
      <c r="E22" s="81" t="n"/>
      <c r="F22" s="81" t="n"/>
      <c r="G22" s="82" t="n"/>
      <c r="H22" s="81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9" t="n"/>
    </row>
    <row r="23" ht="15" customHeight="1">
      <c r="A23" s="81" t="n"/>
      <c r="B23" s="81" t="n"/>
      <c r="C23" s="81" t="n"/>
      <c r="D23" s="83" t="n"/>
      <c r="E23" s="81" t="n"/>
      <c r="F23" s="81" t="n"/>
      <c r="G23" s="82" t="n"/>
      <c r="H23" s="81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27" t="n"/>
      <c r="R23" s="9" t="n"/>
    </row>
    <row r="24">
      <c r="A24" s="81" t="n"/>
      <c r="B24" s="81" t="n"/>
      <c r="C24" s="81" t="n"/>
      <c r="D24" s="83" t="n"/>
      <c r="E24" s="81" t="n"/>
      <c r="F24" s="81" t="n"/>
      <c r="G24" s="82" t="n"/>
      <c r="H24" s="81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9" t="n"/>
    </row>
    <row r="25">
      <c r="A25" s="81" t="n"/>
      <c r="B25" s="81" t="n"/>
      <c r="C25" s="81" t="n"/>
      <c r="D25" s="83" t="n"/>
      <c r="E25" s="81" t="n"/>
      <c r="F25" s="81" t="n"/>
      <c r="G25" s="82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9" t="n"/>
    </row>
    <row r="26">
      <c r="A26" s="81" t="n"/>
      <c r="B26" s="81" t="n"/>
      <c r="C26" s="81" t="n"/>
      <c r="D26" s="83" t="n"/>
      <c r="E26" s="81" t="n"/>
      <c r="F26" s="81" t="n"/>
      <c r="G26" s="82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9" t="n"/>
    </row>
    <row r="27">
      <c r="A27" s="81" t="n"/>
      <c r="B27" s="81" t="n"/>
      <c r="C27" s="81" t="n"/>
      <c r="D27" s="83" t="n"/>
      <c r="E27" s="81" t="n"/>
      <c r="F27" s="81" t="n"/>
      <c r="G27" s="82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9" t="n"/>
    </row>
    <row r="28">
      <c r="A28" s="81" t="n"/>
      <c r="B28" s="81" t="n"/>
      <c r="C28" s="81" t="n"/>
      <c r="D28" s="83" t="n"/>
      <c r="E28" s="81" t="n"/>
      <c r="F28" s="81" t="n"/>
      <c r="G28" s="82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9" t="n"/>
    </row>
  </sheetData>
  <conditionalFormatting sqref="C6:C19">
    <cfRule type="cellIs" priority="8" operator="equal" dxfId="0">
      <formula>0</formula>
    </cfRule>
  </conditionalFormatting>
  <conditionalFormatting sqref="D7:D19">
    <cfRule type="cellIs" priority="7" operator="equal" dxfId="0">
      <formula>0</formula>
    </cfRule>
  </conditionalFormatting>
  <conditionalFormatting sqref="E6:Q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Sept - 27 Sept 2020'!D6</f>
        <v/>
      </c>
      <c r="C6" s="123" t="n">
        <v>247392.33</v>
      </c>
      <c r="D6" s="197" t="n">
        <v>192931.3</v>
      </c>
      <c r="E6" s="254" t="n">
        <v>139124.93</v>
      </c>
      <c r="F6" s="162">
        <f>IFERROR((SUM(D6-C6)/C6),0)</f>
        <v/>
      </c>
      <c r="G6" s="154">
        <f>IFERROR((SUM(D6-B6)/B6),0)</f>
        <v/>
      </c>
      <c r="H6" s="149" t="n">
        <v>642</v>
      </c>
      <c r="I6" s="124">
        <f>IFERROR(D6/H6,0)</f>
        <v/>
      </c>
      <c r="J6" s="125" t="n">
        <v>19</v>
      </c>
      <c r="K6" s="126">
        <f>IFERROR(J6/H6,0)</f>
        <v/>
      </c>
      <c r="L6" s="46">
        <f>'7 Sept - 13 Sept 2020'!K6+'14 Sept - 20 Sept 2020'!I6+'21 Sept - 27 Sept 2020'!I6+J6</f>
        <v/>
      </c>
      <c r="M6" s="171">
        <f>IFERROR(L6/SUM(H6),0)</f>
        <v/>
      </c>
      <c r="N6" s="246" t="n">
        <v>26535.91</v>
      </c>
      <c r="O6" s="128">
        <f>SUM(N6/D6)</f>
        <v/>
      </c>
      <c r="P6" s="247" t="n">
        <v>228.7</v>
      </c>
      <c r="Q6" s="128">
        <f>SUM(P6/D6)</f>
        <v/>
      </c>
      <c r="R6" s="129" t="n">
        <v>3177</v>
      </c>
      <c r="S6" s="26" t="n"/>
    </row>
    <row r="7" ht="15.6" customHeight="1">
      <c r="A7" s="409" t="inlineStr">
        <is>
          <t>Melrose Arch</t>
        </is>
      </c>
      <c r="B7" s="200">
        <f>'21 Sept - 27 Sept 2020'!D7</f>
        <v/>
      </c>
      <c r="C7" s="73" t="n">
        <v>220441.59</v>
      </c>
      <c r="D7" s="145" t="n">
        <v>164012.6</v>
      </c>
      <c r="E7" s="130" t="n">
        <v>122310.82</v>
      </c>
      <c r="F7" s="163">
        <f>IFERROR((SUM(D7-C7)/C7),0)</f>
        <v/>
      </c>
      <c r="G7" s="155">
        <f>IFERROR((SUM(D7-B7)/B7),0)</f>
        <v/>
      </c>
      <c r="H7" s="150" t="n">
        <v>576</v>
      </c>
      <c r="I7" s="63">
        <f>IFERROR(D7/H7,0)</f>
        <v/>
      </c>
      <c r="J7" s="61" t="n">
        <v>35</v>
      </c>
      <c r="K7" s="28">
        <f>IFERROR(J7/H7,0)</f>
        <v/>
      </c>
      <c r="L7" s="46">
        <f>'7 Sept - 13 Sept 2020'!K7+'14 Sept - 20 Sept 2020'!I7+'21 Sept - 27 Sept 2020'!I7+J7</f>
        <v/>
      </c>
      <c r="M7" s="172">
        <f>IFERROR(L7/SUM(H7),0)</f>
        <v/>
      </c>
      <c r="N7" s="247" t="n">
        <v>25380.67</v>
      </c>
      <c r="O7" s="89">
        <f>SUM(N7/D7)</f>
        <v/>
      </c>
      <c r="P7" s="247" t="n">
        <v>20778.61</v>
      </c>
      <c r="Q7" s="89">
        <f>SUM(P7/D7)</f>
        <v/>
      </c>
      <c r="R7" s="130" t="n">
        <v>11190.04</v>
      </c>
      <c r="S7" s="26" t="n"/>
    </row>
    <row r="8" ht="15.6" customHeight="1">
      <c r="A8" s="409" t="inlineStr">
        <is>
          <t>Melville</t>
        </is>
      </c>
      <c r="B8" s="200">
        <f>'21 Sept - 27 Sept 2020'!D8</f>
        <v/>
      </c>
      <c r="C8" s="73" t="n">
        <v>107107.59</v>
      </c>
      <c r="D8" s="145" t="n">
        <v>97836.06</v>
      </c>
      <c r="E8" s="130" t="n">
        <v>69577.42999999999</v>
      </c>
      <c r="F8" s="163">
        <f>IFERROR((SUM(D8-C8)/C8),0)</f>
        <v/>
      </c>
      <c r="G8" s="155">
        <f>IFERROR((SUM(D8-B8)/B8),0)</f>
        <v/>
      </c>
      <c r="H8" s="150" t="n">
        <v>399</v>
      </c>
      <c r="I8" s="63">
        <f>IFERROR(D8/H8,0)</f>
        <v/>
      </c>
      <c r="J8" s="61" t="n">
        <v>10</v>
      </c>
      <c r="K8" s="28">
        <f>IFERROR(J8/H8,0)</f>
        <v/>
      </c>
      <c r="L8" s="46">
        <f>'7 Sept - 13 Sept 2020'!K8+'14 Sept - 20 Sept 2020'!I8+'21 Sept - 27 Sept 2020'!I8+J8</f>
        <v/>
      </c>
      <c r="M8" s="172">
        <f>IFERROR(L8/SUM(H8),0)</f>
        <v/>
      </c>
      <c r="N8" s="247" t="n">
        <v>31843.7</v>
      </c>
      <c r="O8" s="89">
        <f>SUM(N8/D8)</f>
        <v/>
      </c>
      <c r="P8" s="247" t="n">
        <v>11002.92</v>
      </c>
      <c r="Q8" s="89">
        <f>SUM(P8/D8)</f>
        <v/>
      </c>
      <c r="R8" s="130" t="n">
        <v>3445</v>
      </c>
      <c r="S8" s="26" t="n"/>
    </row>
    <row r="9" ht="15.6" customHeight="1">
      <c r="A9" s="409" t="inlineStr">
        <is>
          <t>Rosebank</t>
        </is>
      </c>
      <c r="B9" s="200">
        <f>'21 Sept - 27 Sept 2020'!D9</f>
        <v/>
      </c>
      <c r="C9" s="73" t="n">
        <v>310781.22</v>
      </c>
      <c r="D9" s="145" t="n">
        <v>207464.7</v>
      </c>
      <c r="E9" s="130" t="n">
        <v>161229.65</v>
      </c>
      <c r="F9" s="163">
        <f>IFERROR((SUM(D9-C9)/C9),0)</f>
        <v/>
      </c>
      <c r="G9" s="155">
        <f>IFERROR((SUM(D9-B9)/B9),0)</f>
        <v/>
      </c>
      <c r="H9" s="150" t="n">
        <v>723</v>
      </c>
      <c r="I9" s="63">
        <f>IFERROR(D9/H9,0)</f>
        <v/>
      </c>
      <c r="J9" s="61" t="n">
        <v>23</v>
      </c>
      <c r="K9" s="28">
        <f>IFERROR(J9/H9,0)</f>
        <v/>
      </c>
      <c r="L9" s="46">
        <f>'7 Sept - 13 Sept 2020'!K9+'14 Sept - 20 Sept 2020'!I9+'21 Sept - 27 Sept 2020'!I9+J9</f>
        <v/>
      </c>
      <c r="M9" s="172">
        <f>IFERROR(L9/SUM(H9),0)</f>
        <v/>
      </c>
      <c r="N9" s="247" t="n">
        <v>9039.610000000001</v>
      </c>
      <c r="O9" s="89">
        <f>SUM(N9/D9)</f>
        <v/>
      </c>
      <c r="P9" s="247" t="n">
        <v>4569.09</v>
      </c>
      <c r="Q9" s="89">
        <f>SUM(P9/D9)</f>
        <v/>
      </c>
      <c r="R9" s="130" t="n">
        <v>5225.5</v>
      </c>
      <c r="S9" s="26" t="n"/>
    </row>
    <row r="10" ht="15.6" customHeight="1">
      <c r="A10" s="411" t="inlineStr">
        <is>
          <t xml:space="preserve">Waterkloof </t>
        </is>
      </c>
      <c r="B10" s="200">
        <f>'21 Sept - 27 Sept 2020'!D10</f>
        <v/>
      </c>
      <c r="C10" s="73" t="n">
        <v>147789.66</v>
      </c>
      <c r="D10" s="145" t="n">
        <v>122448.05</v>
      </c>
      <c r="E10" s="130" t="n">
        <v>87336.64999999999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31</v>
      </c>
      <c r="K10" s="28">
        <f>IFERROR(J10/H10,0)</f>
        <v/>
      </c>
      <c r="L10" s="46">
        <f>'7 Sept - 13 Sept 2020'!K10+'14 Sept - 20 Sept 2020'!I10+'21 Sept - 27 Sept 2020'!I10+J10</f>
        <v/>
      </c>
      <c r="M10" s="172">
        <f>IFERROR(L10/SUM(H10),0)</f>
        <v/>
      </c>
      <c r="N10" s="247" t="n">
        <v>34224.83</v>
      </c>
      <c r="O10" s="89">
        <f>SUM(N10/D10)</f>
        <v/>
      </c>
      <c r="P10" s="247" t="n">
        <v>19836.03</v>
      </c>
      <c r="Q10" s="89">
        <f>SUM(P10/D10)</f>
        <v/>
      </c>
      <c r="R10" s="130" t="n">
        <v>3284</v>
      </c>
      <c r="S10" s="26" t="n"/>
    </row>
    <row r="11" ht="15.6" customHeight="1">
      <c r="A11" s="409" t="inlineStr">
        <is>
          <t>Eagles Landing</t>
        </is>
      </c>
      <c r="B11" s="200">
        <f>'21 Sept - 27 Sept 2020'!D11</f>
        <v/>
      </c>
      <c r="C11" s="73" t="n">
        <v>310363.95</v>
      </c>
      <c r="D11" s="145" t="n">
        <v>246009.2</v>
      </c>
      <c r="E11" s="130" t="n">
        <v>171449.95</v>
      </c>
      <c r="F11" s="163">
        <f>IFERROR((SUM(D11-C11)/C11),0)</f>
        <v/>
      </c>
      <c r="G11" s="155">
        <f>IFERROR((SUM(D11-B11)/B11),0)</f>
        <v/>
      </c>
      <c r="H11" s="150" t="n">
        <v>891</v>
      </c>
      <c r="I11" s="63">
        <f>IFERROR(D11/H11,0)</f>
        <v/>
      </c>
      <c r="J11" s="61" t="n">
        <v>86</v>
      </c>
      <c r="K11" s="28">
        <f>IFERROR(J11/H11,0)</f>
        <v/>
      </c>
      <c r="L11" s="46">
        <f>'7 Sept - 13 Sept 2020'!K11+'14 Sept - 20 Sept 2020'!I11+'21 Sept - 27 Sept 2020'!I11+J11</f>
        <v/>
      </c>
      <c r="M11" s="172">
        <f>IFERROR(L11/SUM(H11),0)</f>
        <v/>
      </c>
      <c r="N11" s="247" t="n">
        <v>39914.6</v>
      </c>
      <c r="O11" s="89">
        <f>SUM(N11/D11)</f>
        <v/>
      </c>
      <c r="P11" s="247" t="n">
        <v>19401.3</v>
      </c>
      <c r="Q11" s="89">
        <f>SUM(P11/D11)</f>
        <v/>
      </c>
      <c r="R11" s="130" t="n">
        <v>4060.3</v>
      </c>
      <c r="S11" s="26" t="n"/>
    </row>
    <row r="12" ht="15.6" customHeight="1">
      <c r="A12" s="198" t="inlineStr">
        <is>
          <t>Stellenbosch</t>
        </is>
      </c>
      <c r="B12" s="200">
        <f>'21 Sept - 27 Sept 2020'!D12</f>
        <v/>
      </c>
      <c r="C12" s="73" t="n">
        <v>145869.65</v>
      </c>
      <c r="D12" s="145" t="n">
        <v>89526.53</v>
      </c>
      <c r="E12" s="130" t="n">
        <v>60150.71</v>
      </c>
      <c r="F12" s="163">
        <f>IFERROR((SUM(D12-C12)/C12),0)</f>
        <v/>
      </c>
      <c r="G12" s="155">
        <f>IFERROR((SUM(D12-B12)/B12),0)</f>
        <v/>
      </c>
      <c r="H12" s="150" t="n">
        <v>354</v>
      </c>
      <c r="I12" s="63">
        <f>IFERROR(D12/H12,0)</f>
        <v/>
      </c>
      <c r="J12" s="61" t="n">
        <v>42</v>
      </c>
      <c r="K12" s="28">
        <f>IFERROR(J12/H12,0)</f>
        <v/>
      </c>
      <c r="L12" s="46">
        <f>'7 Sept - 13 Sept 2020'!K12+'14 Sept - 20 Sept 2020'!I12+'21 Sept - 27 Sept 2020'!I12+J12</f>
        <v/>
      </c>
      <c r="M12" s="172">
        <f>IFERROR(L12/SUM(H12),0)</f>
        <v/>
      </c>
      <c r="N12" s="247" t="n">
        <v>14905.22</v>
      </c>
      <c r="O12" s="89">
        <f>SUM(N12/D12)</f>
        <v/>
      </c>
      <c r="P12" s="247" t="n">
        <v>3409.83</v>
      </c>
      <c r="Q12" s="89">
        <f>SUM(P12/D12)</f>
        <v/>
      </c>
      <c r="R12" s="130" t="n">
        <v>3649</v>
      </c>
      <c r="S12" s="26" t="n"/>
    </row>
    <row r="13" ht="15.6" customHeight="1">
      <c r="A13" s="198" t="inlineStr">
        <is>
          <t>Lynnwood</t>
        </is>
      </c>
      <c r="B13" s="200">
        <f>'21 Sept - 27 Sept 2020'!D13</f>
        <v/>
      </c>
      <c r="C13" s="73" t="n">
        <v>203625.52</v>
      </c>
      <c r="D13" s="145" t="n">
        <v>174284.5</v>
      </c>
      <c r="E13" s="130" t="n">
        <v>122566.4</v>
      </c>
      <c r="F13" s="163">
        <f>IFERROR((SUM(D13-C13)/C13),0)</f>
        <v/>
      </c>
      <c r="G13" s="155">
        <f>IFERROR((SUM(D13-B13)/B13),0)</f>
        <v/>
      </c>
      <c r="H13" s="150" t="n">
        <v>644</v>
      </c>
      <c r="I13" s="63">
        <f>IFERROR(D13/H13,0)</f>
        <v/>
      </c>
      <c r="J13" s="61" t="n">
        <v>63</v>
      </c>
      <c r="K13" s="28">
        <f>IFERROR(J13/H13,0)</f>
        <v/>
      </c>
      <c r="L13" s="46">
        <f>'7 Sept - 13 Sept 2020'!K13+'14 Sept - 20 Sept 2020'!I13+'21 Sept - 27 Sept 2020'!I13+J13</f>
        <v/>
      </c>
      <c r="M13" s="172">
        <f>IFERROR(L13/SUM(H13),0)</f>
        <v/>
      </c>
      <c r="N13" s="247" t="n">
        <v>33765.87</v>
      </c>
      <c r="O13" s="89">
        <f>SUM(N13/D13)</f>
        <v/>
      </c>
      <c r="P13" s="247" t="n">
        <v>16730.48</v>
      </c>
      <c r="Q13" s="89">
        <f>SUM(P13/D13)</f>
        <v/>
      </c>
      <c r="R13" s="130" t="n">
        <v>4957</v>
      </c>
      <c r="S13" s="26" t="n"/>
    </row>
    <row r="14" hidden="1" ht="15.6" customHeight="1">
      <c r="A14" s="198" t="inlineStr">
        <is>
          <t>Wellington</t>
        </is>
      </c>
      <c r="B14" s="200">
        <f>'21 Sept - 27 Sept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Sept - 27 Sept 2020'!D15</f>
        <v/>
      </c>
      <c r="C15" s="73" t="n">
        <v>146491.63</v>
      </c>
      <c r="D15" s="145" t="n">
        <v>154450.5</v>
      </c>
      <c r="E15" s="130" t="n">
        <v>99626.53</v>
      </c>
      <c r="F15" s="163">
        <f>IFERROR((SUM(D15-C15)/C15),0)</f>
        <v/>
      </c>
      <c r="G15" s="155">
        <f>IFERROR((SUM(D15-B15)/B15),0)</f>
        <v/>
      </c>
      <c r="H15" s="150" t="n">
        <v>517</v>
      </c>
      <c r="I15" s="63">
        <f>IFERROR(D15/H15,0)</f>
        <v/>
      </c>
      <c r="J15" s="61" t="n">
        <v>54</v>
      </c>
      <c r="K15" s="28">
        <f>IFERROR(J15/H15,0)</f>
        <v/>
      </c>
      <c r="L15" s="46">
        <f>'7 Sept - 13 Sept 2020'!K15+'14 Sept - 20 Sept 2020'!I15+'21 Sept - 27 Sept 2020'!I15+J15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16750.43</v>
      </c>
      <c r="Q15" s="89">
        <f>SUM(P15/D15)</f>
        <v/>
      </c>
      <c r="R15" s="130" t="n">
        <v>1572.4</v>
      </c>
      <c r="S15" s="9" t="n"/>
    </row>
    <row r="16" ht="15.6" customHeight="1">
      <c r="A16" s="198" t="inlineStr">
        <is>
          <t>Kyalami Corner</t>
        </is>
      </c>
      <c r="B16" s="200">
        <f>'21 Sept - 27 Sept 2020'!D16</f>
        <v/>
      </c>
      <c r="C16" s="73" t="n">
        <v>124737.19</v>
      </c>
      <c r="D16" s="145" t="n">
        <v>122050.93</v>
      </c>
      <c r="E16" s="130" t="n">
        <v>73071.78</v>
      </c>
      <c r="F16" s="163">
        <f>IFERROR((SUM(D16-C16)/C16),0)</f>
        <v/>
      </c>
      <c r="G16" s="155">
        <f>IFERROR((SUM(D16-B16)/B16),0)</f>
        <v/>
      </c>
      <c r="H16" s="150" t="n">
        <v>448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2020'!I16+J16</f>
        <v/>
      </c>
      <c r="M16" s="172">
        <f>IFERROR(L16/SUM(H16),0)</f>
        <v/>
      </c>
      <c r="N16" s="247" t="n">
        <v>14938.09</v>
      </c>
      <c r="O16" s="89">
        <f>SUM(N16/D16)</f>
        <v/>
      </c>
      <c r="P16" s="247" t="n">
        <v>16483.22</v>
      </c>
      <c r="Q16" s="89">
        <f>SUM(P16/D16)</f>
        <v/>
      </c>
      <c r="R16" s="130" t="n">
        <v>4232.5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Sept - 27 Sept 2020'!D17</f>
        <v/>
      </c>
      <c r="C17" s="73" t="n">
        <v>187465.36</v>
      </c>
      <c r="D17" s="145" t="n">
        <v>170350.2</v>
      </c>
      <c r="E17" s="130" t="n">
        <v>118177.94</v>
      </c>
      <c r="F17" s="163">
        <f>IFERROR((SUM(D17-C17)/C17),0)</f>
        <v/>
      </c>
      <c r="G17" s="155">
        <f>IFERROR((SUM(D17-B17)/B17),0)</f>
        <v/>
      </c>
      <c r="H17" s="150" t="n">
        <v>672</v>
      </c>
      <c r="I17" s="63">
        <f>IFERROR(D17/H17,0)</f>
        <v/>
      </c>
      <c r="J17" s="61" t="n">
        <v>8</v>
      </c>
      <c r="K17" s="28">
        <f>IFERROR(J17/H17,0)</f>
        <v/>
      </c>
      <c r="L17" s="46">
        <f>'7 Sept - 13 Sept 2020'!K17+'14 Sept - 20 Sept 2020'!I17+'21 Sept - 27 Sept 2020'!I17+J17</f>
        <v/>
      </c>
      <c r="M17" s="172">
        <f>IFERROR(L17/SUM(H17),0)</f>
        <v/>
      </c>
      <c r="N17" s="247" t="n">
        <v>36407.04</v>
      </c>
      <c r="O17" s="89">
        <f>SUM(N17/D17)</f>
        <v/>
      </c>
      <c r="P17" s="247" t="n">
        <v>9385.83</v>
      </c>
      <c r="Q17" s="89">
        <f>SUM(P17/D17)</f>
        <v/>
      </c>
      <c r="R17" s="130" t="n">
        <v>1569</v>
      </c>
      <c r="S17" s="9" t="n"/>
    </row>
    <row r="18" ht="15.6" customHeight="1">
      <c r="A18" s="198" t="inlineStr">
        <is>
          <t>Queenswood</t>
        </is>
      </c>
      <c r="B18" s="200">
        <f>'21 Sept - 27 Sept 2020'!D18</f>
        <v/>
      </c>
      <c r="C18" s="73" t="n">
        <v>161171.99</v>
      </c>
      <c r="D18" s="145" t="n">
        <v>134288.3</v>
      </c>
      <c r="E18" s="130" t="n">
        <v>88795.03999999999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63">
        <f>IFERROR(D18/H18,0)</f>
        <v/>
      </c>
      <c r="J18" s="61" t="n">
        <v>69</v>
      </c>
      <c r="K18" s="28">
        <f>IFERROR(J18/H18,0)</f>
        <v/>
      </c>
      <c r="L18" s="46">
        <f>'7 Sept - 13 Sept 2020'!K18+'14 Sept - 20 Sept 2020'!I18+'21 Sept - 27 Sept 2020'!I18+J18</f>
        <v/>
      </c>
      <c r="M18" s="172">
        <f>IFERROR(L18/SUM(H18),0)</f>
        <v/>
      </c>
      <c r="N18" s="247" t="n">
        <v>19147.51</v>
      </c>
      <c r="O18" s="89">
        <f>SUM(N18/D18)</f>
        <v/>
      </c>
      <c r="P18" s="247" t="n">
        <v>14187.51</v>
      </c>
      <c r="Q18" s="89">
        <f>SUM(P18/D18)</f>
        <v/>
      </c>
      <c r="R18" s="130" t="n">
        <v>2761.5</v>
      </c>
      <c r="S18" s="9" t="n"/>
    </row>
    <row r="19" ht="16.2" customHeight="1" thickBot="1">
      <c r="A19" s="203" t="inlineStr">
        <is>
          <t>Centurion</t>
        </is>
      </c>
      <c r="B19" s="201">
        <f>'21 Sept - 27 Sept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Sept - 4 Oct 2020'!D6</f>
        <v/>
      </c>
      <c r="C6" s="123" t="n">
        <v>234693.29</v>
      </c>
      <c r="D6" s="197" t="n">
        <v>177764.4</v>
      </c>
      <c r="E6" s="254" t="n">
        <v>316889.31</v>
      </c>
      <c r="F6" s="162">
        <f>IFERROR((SUM(D6-C6)/C6),0)</f>
        <v/>
      </c>
      <c r="G6" s="154">
        <f>IFERROR((SUM(D6-B6)/B6),0)</f>
        <v/>
      </c>
      <c r="H6" s="149" t="n">
        <v>599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</f>
        <v/>
      </c>
      <c r="M6" s="171">
        <f>IFERROR(L6/SUM(H6),0)</f>
        <v/>
      </c>
      <c r="N6" s="246" t="n">
        <v>45918.87</v>
      </c>
      <c r="O6" s="128">
        <f>SUM(N6/D6)</f>
        <v/>
      </c>
      <c r="P6" s="247" t="n">
        <v>556.52</v>
      </c>
      <c r="Q6" s="128">
        <f>SUM(P6/D6)</f>
        <v/>
      </c>
      <c r="R6" s="129" t="n">
        <v>8303.5</v>
      </c>
      <c r="S6" s="26" t="n"/>
    </row>
    <row r="7" ht="15.6" customHeight="1">
      <c r="A7" s="409" t="inlineStr">
        <is>
          <t>Melrose Arch</t>
        </is>
      </c>
      <c r="B7" s="200">
        <f>'28 Sept - 4 Oct 2020'!D7</f>
        <v/>
      </c>
      <c r="C7" s="73" t="n">
        <v>178156.7</v>
      </c>
      <c r="D7" s="145" t="n">
        <v>151403.3</v>
      </c>
      <c r="E7" s="130" t="n">
        <v>273714.07</v>
      </c>
      <c r="F7" s="163">
        <f>IFERROR((SUM(D7-C7)/C7),0)</f>
        <v/>
      </c>
      <c r="G7" s="155">
        <f>IFERROR((SUM(D7-B7)/B7),0)</f>
        <v/>
      </c>
      <c r="H7" s="150" t="n">
        <v>578</v>
      </c>
      <c r="I7" s="63">
        <f>IFERROR(D7/H7,0)</f>
        <v/>
      </c>
      <c r="J7" s="61" t="n">
        <v>44</v>
      </c>
      <c r="K7" s="28">
        <f>IFERROR(J7/H7,0)</f>
        <v/>
      </c>
      <c r="L7" s="46">
        <f>'7 Sept - 13 Sept 2020'!K7+'14 Sept - 20 Sept 2020'!I7+'21 Sept - 27 Sept 2020'!I7+'28 Sept - 4 Oct 2020'!J7+J7</f>
        <v/>
      </c>
      <c r="M7" s="172">
        <f>IFERROR(L7/SUM(H7),0)</f>
        <v/>
      </c>
      <c r="N7" s="247" t="n">
        <v>24679.09</v>
      </c>
      <c r="O7" s="89">
        <f>SUM(N7/D7)</f>
        <v/>
      </c>
      <c r="P7" s="247" t="n">
        <v>10063.65</v>
      </c>
      <c r="Q7" s="89">
        <f>SUM(P7/D7)</f>
        <v/>
      </c>
      <c r="R7" s="130" t="n">
        <v>9043.15</v>
      </c>
      <c r="S7" s="26" t="n"/>
    </row>
    <row r="8" ht="15.6" customHeight="1">
      <c r="A8" s="409" t="inlineStr">
        <is>
          <t>Melville</t>
        </is>
      </c>
      <c r="B8" s="200">
        <f>'28 Sept - 4 Oct 2020'!D8</f>
        <v/>
      </c>
      <c r="C8" s="73" t="n">
        <v>104958.15</v>
      </c>
      <c r="D8" s="145" t="n">
        <v>87382.74000000001</v>
      </c>
      <c r="E8" s="130" t="n">
        <v>156960.17</v>
      </c>
      <c r="F8" s="163">
        <f>IFERROR((SUM(D8-C8)/C8),0)</f>
        <v/>
      </c>
      <c r="G8" s="155">
        <f>IFERROR((SUM(D8-B8)/B8),0)</f>
        <v/>
      </c>
      <c r="H8" s="150" t="n">
        <v>343</v>
      </c>
      <c r="I8" s="63">
        <f>IFERROR(D8/H8,0)</f>
        <v/>
      </c>
      <c r="J8" s="61" t="n">
        <v>16</v>
      </c>
      <c r="K8" s="28">
        <f>IFERROR(J8/H8,0)</f>
        <v/>
      </c>
      <c r="L8" s="46">
        <f>'7 Sept - 13 Sept 2020'!K8+'14 Sept - 20 Sept 2020'!I8+'21 Sept - 27 Sept 2020'!I8+'28 Sept - 4 Oct 2020'!J8+J8</f>
        <v/>
      </c>
      <c r="M8" s="172">
        <f>IFERROR(L8/SUM(H8),0)</f>
        <v/>
      </c>
      <c r="N8" s="247" t="n">
        <v>24295.3</v>
      </c>
      <c r="O8" s="89">
        <f>SUM(N8/D8)</f>
        <v/>
      </c>
      <c r="P8" s="247" t="n">
        <v>13399.22</v>
      </c>
      <c r="Q8" s="89">
        <f>SUM(P8/D8)</f>
        <v/>
      </c>
      <c r="R8" s="130" t="n">
        <v>1301</v>
      </c>
      <c r="S8" s="26" t="n"/>
    </row>
    <row r="9" ht="15.6" customHeight="1">
      <c r="A9" s="409" t="inlineStr">
        <is>
          <t>Rosebank</t>
        </is>
      </c>
      <c r="B9" s="200">
        <f>'28 Sept - 4 Oct 2020'!D9</f>
        <v/>
      </c>
      <c r="C9" s="73" t="n">
        <v>307459.09</v>
      </c>
      <c r="D9" s="145" t="n">
        <v>215845.3</v>
      </c>
      <c r="E9" s="130" t="n">
        <v>377074.98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33</v>
      </c>
      <c r="K9" s="28">
        <f>IFERROR(J9/H9,0)</f>
        <v/>
      </c>
      <c r="L9" s="46">
        <f>'7 Sept - 13 Sept 2020'!K9+'14 Sept - 20 Sept 2020'!I9+'21 Sept - 27 Sept 2020'!I9+'28 Sept - 4 Oct 2020'!J9+J9</f>
        <v/>
      </c>
      <c r="M9" s="172">
        <f>IFERROR(L9/SUM(H9),0)</f>
        <v/>
      </c>
      <c r="N9" s="247" t="n">
        <v>14120.54</v>
      </c>
      <c r="O9" s="89">
        <f>SUM(N9/D9)</f>
        <v/>
      </c>
      <c r="P9" s="247" t="n">
        <v>7575.13</v>
      </c>
      <c r="Q9" s="89">
        <f>SUM(P9/D9)</f>
        <v/>
      </c>
      <c r="R9" s="130" t="n">
        <v>4223.5</v>
      </c>
      <c r="S9" s="26" t="n"/>
    </row>
    <row r="10" ht="15.6" customHeight="1">
      <c r="A10" s="411" t="inlineStr">
        <is>
          <t xml:space="preserve">Waterkloof </t>
        </is>
      </c>
      <c r="B10" s="200">
        <f>'28 Sept - 4 Oct 2020'!D10</f>
        <v/>
      </c>
      <c r="C10" s="73" t="n">
        <v>152374.91</v>
      </c>
      <c r="D10" s="145" t="n">
        <v>131049.9</v>
      </c>
      <c r="E10" s="130" t="n">
        <v>218385.53</v>
      </c>
      <c r="F10" s="163">
        <f>IFERROR((SUM(D10-C10)/C10),0)</f>
        <v/>
      </c>
      <c r="G10" s="155">
        <f>IFERROR((SUM(D10-B10)/B10),0)</f>
        <v/>
      </c>
      <c r="H10" s="150" t="n">
        <v>476</v>
      </c>
      <c r="I10" s="63">
        <f>IFERROR(D10/H10,0)</f>
        <v/>
      </c>
      <c r="J10" s="61" t="n">
        <v>26</v>
      </c>
      <c r="K10" s="28">
        <f>IFERROR(J10/H10,0)</f>
        <v/>
      </c>
      <c r="L10" s="46">
        <f>'7 Sept - 13 Sept 2020'!K10+'14 Sept - 20 Sept 2020'!I10+'21 Sept - 27 Sept 2020'!I10+'28 Sept - 4 Oct 2020'!J10+J10</f>
        <v/>
      </c>
      <c r="M10" s="172">
        <f>IFERROR(L10/SUM(H10),0)</f>
        <v/>
      </c>
      <c r="N10" s="247" t="n">
        <v>23907.08</v>
      </c>
      <c r="O10" s="89">
        <f>SUM(N10/D10)</f>
        <v/>
      </c>
      <c r="P10" s="247" t="n">
        <v>26972.29</v>
      </c>
      <c r="Q10" s="89">
        <f>SUM(P10/D10)</f>
        <v/>
      </c>
      <c r="R10" s="130" t="n">
        <v>5128.5</v>
      </c>
      <c r="S10" s="26" t="n"/>
    </row>
    <row r="11" ht="15.6" customHeight="1">
      <c r="A11" s="409" t="inlineStr">
        <is>
          <t>Eagles Landing</t>
        </is>
      </c>
      <c r="B11" s="200">
        <f>'28 Sept - 4 Oct 2020'!D11</f>
        <v/>
      </c>
      <c r="C11" s="73" t="n">
        <v>330816.72</v>
      </c>
      <c r="D11" s="145" t="n">
        <v>275216.7</v>
      </c>
      <c r="E11" s="130" t="n">
        <v>446666.69</v>
      </c>
      <c r="F11" s="163">
        <f>IFERROR((SUM(D11-C11)/C11),0)</f>
        <v/>
      </c>
      <c r="G11" s="155">
        <f>IFERROR((SUM(D11-B11)/B11),0)</f>
        <v/>
      </c>
      <c r="H11" s="150" t="n">
        <v>963</v>
      </c>
      <c r="I11" s="63">
        <f>IFERROR(D11/H11,0)</f>
        <v/>
      </c>
      <c r="J11" s="61" t="n">
        <v>105</v>
      </c>
      <c r="K11" s="28">
        <f>IFERROR(J11/H11,0)</f>
        <v/>
      </c>
      <c r="L11" s="46">
        <f>'7 Sept - 13 Sept 2020'!K11+'14 Sept - 20 Sept 2020'!I11+'21 Sept - 27 Sept 2020'!I11+'28 Sept - 4 Oct 2020'!J11+J11</f>
        <v/>
      </c>
      <c r="M11" s="172">
        <f>IFERROR(L11/SUM(H11),0)</f>
        <v/>
      </c>
      <c r="N11" s="247" t="n">
        <v>40437.71</v>
      </c>
      <c r="O11" s="89">
        <f>SUM(N11/D11)</f>
        <v/>
      </c>
      <c r="P11" s="247" t="n">
        <v>23804.57</v>
      </c>
      <c r="Q11" s="89">
        <f>SUM(P11/D11)</f>
        <v/>
      </c>
      <c r="R11" s="130" t="n">
        <v>6525.3</v>
      </c>
      <c r="S11" s="26" t="n"/>
    </row>
    <row r="12" ht="15.6" customHeight="1">
      <c r="A12" s="198" t="inlineStr">
        <is>
          <t>Stellenbosch</t>
        </is>
      </c>
      <c r="B12" s="200">
        <f>'28 Sept - 4 Oct 2020'!D12</f>
        <v/>
      </c>
      <c r="C12" s="73" t="n">
        <v>132859.36</v>
      </c>
      <c r="D12" s="145" t="n">
        <v>87023.78999999999</v>
      </c>
      <c r="E12" s="130" t="n">
        <v>147174.5</v>
      </c>
      <c r="F12" s="163">
        <f>IFERROR((SUM(D12-C12)/C12),0)</f>
        <v/>
      </c>
      <c r="G12" s="155">
        <f>IFERROR((SUM(D12-B12)/B12),0)</f>
        <v/>
      </c>
      <c r="H12" s="150" t="n">
        <v>348</v>
      </c>
      <c r="I12" s="63">
        <f>IFERROR(D12/H12,0)</f>
        <v/>
      </c>
      <c r="J12" s="61" t="n">
        <v>25</v>
      </c>
      <c r="K12" s="28">
        <f>IFERROR(J12/H12,0)</f>
        <v/>
      </c>
      <c r="L12" s="46">
        <f>'7 Sept - 13 Sept 2020'!K12+'14 Sept - 20 Sept 2020'!I12+'21 Sept - 27 Sept 2020'!I12+'28 Sept - 4 Oct 2020'!J12+J12</f>
        <v/>
      </c>
      <c r="M12" s="172">
        <f>IFERROR(L12/SUM(H12),0)</f>
        <v/>
      </c>
      <c r="N12" s="247" t="n">
        <v>17232.17</v>
      </c>
      <c r="O12" s="89">
        <f>SUM(N12/D12)</f>
        <v/>
      </c>
      <c r="P12" s="247" t="n">
        <v>4642.49</v>
      </c>
      <c r="Q12" s="89">
        <f>SUM(P12/D12)</f>
        <v/>
      </c>
      <c r="R12" s="130" t="n">
        <v>4602.5</v>
      </c>
      <c r="S12" s="26" t="n"/>
    </row>
    <row r="13" ht="15.6" customHeight="1">
      <c r="A13" s="198" t="inlineStr">
        <is>
          <t>Lynnwood</t>
        </is>
      </c>
      <c r="B13" s="200">
        <f>'28 Sept - 4 Oct 2020'!D13</f>
        <v/>
      </c>
      <c r="C13" s="73" t="n">
        <v>196053.8</v>
      </c>
      <c r="D13" s="145" t="n">
        <v>172397.2</v>
      </c>
      <c r="E13" s="130" t="n">
        <v>294963.6</v>
      </c>
      <c r="F13" s="163">
        <f>IFERROR((SUM(D13-C13)/C13),0)</f>
        <v/>
      </c>
      <c r="G13" s="155">
        <f>IFERROR((SUM(D13-B13)/B13),0)</f>
        <v/>
      </c>
      <c r="H13" s="150" t="n">
        <v>628</v>
      </c>
      <c r="I13" s="63">
        <f>IFERROR(D13/H13,0)</f>
        <v/>
      </c>
      <c r="J13" s="61" t="n">
        <v>41</v>
      </c>
      <c r="K13" s="28">
        <f>IFERROR(J13/H13,0)</f>
        <v/>
      </c>
      <c r="L13" s="46">
        <f>'7 Sept - 13 Sept 2020'!K13+'14 Sept - 20 Sept 2020'!I13+'21 Sept - 27 Sept 2020'!I13+'28 Sept - 4 Oct 2020'!J13+J13</f>
        <v/>
      </c>
      <c r="M13" s="172">
        <f>IFERROR(L13/SUM(H13),0)</f>
        <v/>
      </c>
      <c r="N13" s="247" t="n">
        <v>21835.82</v>
      </c>
      <c r="O13" s="89">
        <f>SUM(N13/D13)</f>
        <v/>
      </c>
      <c r="P13" s="247" t="n">
        <v>25370.39</v>
      </c>
      <c r="Q13" s="89">
        <f>SUM(P13/D13)</f>
        <v/>
      </c>
      <c r="R13" s="130" t="n">
        <v>4376</v>
      </c>
      <c r="S13" s="26" t="n"/>
    </row>
    <row r="14" hidden="1" ht="15.6" customHeight="1">
      <c r="A14" s="198" t="inlineStr">
        <is>
          <t>Wellington</t>
        </is>
      </c>
      <c r="B14" s="200">
        <f>'28 Sept - 4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Sept - 4 Oct 2020'!D15</f>
        <v/>
      </c>
      <c r="C15" s="73" t="n">
        <v>163134.85</v>
      </c>
      <c r="D15" s="145" t="n">
        <v>163420.6</v>
      </c>
      <c r="E15" s="130" t="n">
        <v>263047.13</v>
      </c>
      <c r="F15" s="163">
        <f>IFERROR((SUM(D15-C15)/C15),0)</f>
        <v/>
      </c>
      <c r="G15" s="155">
        <f>IFERROR((SUM(D15-B15)/B15),0)</f>
        <v/>
      </c>
      <c r="H15" s="150" t="n">
        <v>516</v>
      </c>
      <c r="I15" s="63">
        <f>IFERROR(D15/H15,0)</f>
        <v/>
      </c>
      <c r="J15" s="61" t="n">
        <v>61</v>
      </c>
      <c r="K15" s="28">
        <f>IFERROR(J15/H15,0)</f>
        <v/>
      </c>
      <c r="L15" s="46">
        <f>'7 Sept - 13 Sept 2020'!K15+'14 Sept - 20 Sept 2020'!I15+'21 Sept - 27 Sept 2020'!I15+'28 Sept - 4 Oct 2020'!J15+J15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12704.35</v>
      </c>
      <c r="Q15" s="89">
        <f>SUM(P15/D15)</f>
        <v/>
      </c>
      <c r="R15" s="130" t="n">
        <v>2268.2</v>
      </c>
      <c r="S15" s="9" t="n"/>
    </row>
    <row r="16" ht="15.6" customHeight="1">
      <c r="A16" s="198" t="inlineStr">
        <is>
          <t>Kyalami Corner</t>
        </is>
      </c>
      <c r="B16" s="200">
        <f>'28 Sept - 4 Oct 2020'!D16</f>
        <v/>
      </c>
      <c r="C16" s="73" t="n">
        <v>113246.57</v>
      </c>
      <c r="D16" s="145" t="n">
        <v>95734.88</v>
      </c>
      <c r="E16" s="130" t="n">
        <v>188583.19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35</v>
      </c>
      <c r="K16" s="28">
        <f>IFERROR(J16/H16,0)</f>
        <v/>
      </c>
      <c r="L16" s="46">
        <f>'7 Sept - 13 Sept 2020'!K16+'14 Sept - 20 Sept 2020'!I16+'21 Sept - 27 Sept 2020'!I16+'28 Sept - 4 Oct 2020'!J16+J16</f>
        <v/>
      </c>
      <c r="M16" s="172">
        <f>IFERROR(L16/SUM(H16),0)</f>
        <v/>
      </c>
      <c r="N16" s="247" t="n">
        <v>15457.7</v>
      </c>
      <c r="O16" s="89">
        <f>SUM(N16/D16)</f>
        <v/>
      </c>
      <c r="P16" s="247" t="n">
        <v>13826.3</v>
      </c>
      <c r="Q16" s="89">
        <f>SUM(P16/D16)</f>
        <v/>
      </c>
      <c r="R16" s="130" t="n">
        <v>8133.5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Sept - 4 Oct 2020'!D17</f>
        <v/>
      </c>
      <c r="C17" s="73" t="n">
        <v>201796.54</v>
      </c>
      <c r="D17" s="145" t="n">
        <v>164050.76</v>
      </c>
      <c r="E17" s="130" t="n">
        <v>282228.7</v>
      </c>
      <c r="F17" s="163">
        <f>IFERROR((SUM(D17-C17)/C17),0)</f>
        <v/>
      </c>
      <c r="G17" s="155">
        <f>IFERROR((SUM(D17-B17)/B17),0)</f>
        <v/>
      </c>
      <c r="H17" s="150" t="n">
        <v>657</v>
      </c>
      <c r="I17" s="63">
        <f>IFERROR(D17/H17,0)</f>
        <v/>
      </c>
      <c r="J17" s="61" t="n">
        <v>44</v>
      </c>
      <c r="K17" s="28">
        <f>IFERROR(J17/H17,0)</f>
        <v/>
      </c>
      <c r="L17" s="46">
        <f>'7 Sept - 13 Sept 2020'!K17+'14 Sept - 20 Sept 2020'!I17+'21 Sept - 27 Sept 2020'!I17+'28 Sept - 4 Oct 2020'!J17+J17</f>
        <v/>
      </c>
      <c r="M17" s="172">
        <f>IFERROR(L17/SUM(H17),0)</f>
        <v/>
      </c>
      <c r="N17" s="247" t="n">
        <v>40516.2</v>
      </c>
      <c r="O17" s="89">
        <f>SUM(N17/D17)</f>
        <v/>
      </c>
      <c r="P17" s="247" t="n">
        <v>8861.700000000001</v>
      </c>
      <c r="Q17" s="89">
        <f>SUM(P17/D17)</f>
        <v/>
      </c>
      <c r="R17" s="130" t="n">
        <v>2921</v>
      </c>
      <c r="S17" s="9" t="n"/>
    </row>
    <row r="18" ht="15.6" customHeight="1">
      <c r="A18" s="198" t="inlineStr">
        <is>
          <t>Queenswood</t>
        </is>
      </c>
      <c r="B18" s="200">
        <f>'28 Sept - 4 Oct 2020'!D18</f>
        <v/>
      </c>
      <c r="C18" s="73" t="n">
        <v>148910.86</v>
      </c>
      <c r="D18" s="145" t="n">
        <v>128300.32</v>
      </c>
      <c r="E18" s="130" t="n">
        <v>217095.36</v>
      </c>
      <c r="F18" s="163">
        <f>IFERROR((SUM(D18-C18)/C18),0)</f>
        <v/>
      </c>
      <c r="G18" s="155">
        <f>IFERROR((SUM(D18-B18)/B18),0)</f>
        <v/>
      </c>
      <c r="H18" s="150" t="n">
        <v>493</v>
      </c>
      <c r="I18" s="63">
        <f>IFERROR(D18/H18,0)</f>
        <v/>
      </c>
      <c r="J18" s="61" t="n">
        <v>71</v>
      </c>
      <c r="K18" s="28">
        <f>IFERROR(J18/H18,0)</f>
        <v/>
      </c>
      <c r="L18" s="46">
        <f>'7 Sept - 13 Sept 2020'!K18+'14 Sept - 20 Sept 2020'!I18+'21 Sept - 27 Sept 2020'!I18+'28 Sept - 4 Oct 2020'!J18+J18</f>
        <v/>
      </c>
      <c r="M18" s="172">
        <f>IFERROR(L18/SUM(H18),0)</f>
        <v/>
      </c>
      <c r="N18" s="247" t="n">
        <v>22909.74</v>
      </c>
      <c r="O18" s="89">
        <f>SUM(N18/D18)</f>
        <v/>
      </c>
      <c r="P18" s="247" t="n">
        <v>14258.74</v>
      </c>
      <c r="Q18" s="89">
        <f>SUM(P18/D18)</f>
        <v/>
      </c>
      <c r="R18" s="130" t="n">
        <v>4066</v>
      </c>
      <c r="S18" s="9" t="n"/>
    </row>
    <row r="19" ht="16.2" customHeight="1" thickBot="1">
      <c r="A19" s="203" t="inlineStr">
        <is>
          <t>Centurion</t>
        </is>
      </c>
      <c r="B19" s="201">
        <f>'28 Sept - 4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Oct - 11 Oct 2020'!D6</f>
        <v/>
      </c>
      <c r="C6" s="123" t="n">
        <v>220957.5</v>
      </c>
      <c r="D6" s="197" t="n">
        <v>202092.61</v>
      </c>
      <c r="E6" s="254" t="n">
        <v>518981.92</v>
      </c>
      <c r="F6" s="162">
        <f>IFERROR((SUM(D6-C6)/C6),0)</f>
        <v/>
      </c>
      <c r="G6" s="154">
        <f>IFERROR((SUM(D6-B6)/B6),0)</f>
        <v/>
      </c>
      <c r="H6" s="149" t="n">
        <v>655</v>
      </c>
      <c r="I6" s="124">
        <f>IFERROR(D6/H6,0)</f>
        <v/>
      </c>
      <c r="J6" s="125" t="n">
        <v>28</v>
      </c>
      <c r="K6" s="126">
        <f>IFERROR(J6/H6,0)</f>
        <v/>
      </c>
      <c r="L6" s="46">
        <f>'7 Sept - 13 Sept 2020'!K6+'14 Sept - 20 Sept 2020'!I6+'21 Sept - 27 Sept 2020'!I6+'28 Sept - 4 Oct 2020'!J6+J6+'5 Oct - 11 Oct 2020'!J6</f>
        <v/>
      </c>
      <c r="M6" s="171">
        <f>IFERROR(L6/SUM(H6),0)</f>
        <v/>
      </c>
      <c r="N6" s="246" t="n">
        <v>31869.43</v>
      </c>
      <c r="O6" s="128">
        <f>SUM(N6/D6)</f>
        <v/>
      </c>
      <c r="P6" s="247" t="n">
        <v>299.13</v>
      </c>
      <c r="Q6" s="128">
        <f>SUM(P6/D6)</f>
        <v/>
      </c>
      <c r="R6" s="129" t="n">
        <v>4851.15</v>
      </c>
      <c r="S6" s="26" t="n"/>
    </row>
    <row r="7" ht="15.6" customHeight="1">
      <c r="A7" s="409" t="inlineStr">
        <is>
          <t>Melrose Arch</t>
        </is>
      </c>
      <c r="B7" s="200">
        <f>'5 Oct - 11 Oct 2020'!D7</f>
        <v/>
      </c>
      <c r="C7" s="73" t="n">
        <v>212391.65</v>
      </c>
      <c r="D7" s="145" t="n">
        <v>144428.65</v>
      </c>
      <c r="E7" s="130" t="n">
        <v>418142.72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38</v>
      </c>
      <c r="K7" s="28">
        <f>IFERROR(J7/H7,0)</f>
        <v/>
      </c>
      <c r="L7" s="46">
        <f>'7 Sept - 13 Sept 2020'!K7+'14 Sept - 20 Sept 2020'!I7+'21 Sept - 27 Sept 2020'!I7+'28 Sept - 4 Oct 2020'!J7+J7+'5 Oct - 11 Oct 2020'!J7</f>
        <v/>
      </c>
      <c r="M7" s="172">
        <f>IFERROR(L7/SUM(H7),0)</f>
        <v/>
      </c>
      <c r="N7" s="247" t="n">
        <v>18253.17</v>
      </c>
      <c r="O7" s="89">
        <f>SUM(N7/D7)</f>
        <v/>
      </c>
      <c r="P7" s="247" t="n">
        <v>12438.96</v>
      </c>
      <c r="Q7" s="89">
        <f>SUM(P7/D7)</f>
        <v/>
      </c>
      <c r="R7" s="130" t="n">
        <v>10193.7</v>
      </c>
      <c r="S7" s="26" t="n"/>
    </row>
    <row r="8" ht="15.6" customHeight="1">
      <c r="A8" s="409" t="inlineStr">
        <is>
          <t>Melville</t>
        </is>
      </c>
      <c r="B8" s="200">
        <f>'5 Oct - 11 Oct 2020'!D8</f>
        <v/>
      </c>
      <c r="C8" s="73" t="n">
        <v>108340.48</v>
      </c>
      <c r="D8" s="145" t="n">
        <v>96801.22</v>
      </c>
      <c r="E8" s="130" t="n">
        <v>253761.39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'7 Sept - 13 Sept 2020'!K8+'14 Sept - 20 Sept 2020'!I8+'21 Sept - 27 Sept 2020'!I8+'28 Sept - 4 Oct 2020'!J8+J8+'5 Oct - 11 Oct 2020'!J8</f>
        <v/>
      </c>
      <c r="M8" s="172">
        <f>IFERROR(L8/SUM(H8),0)</f>
        <v/>
      </c>
      <c r="N8" s="247" t="n">
        <v>24233.26</v>
      </c>
      <c r="O8" s="89">
        <f>SUM(N8/D8)</f>
        <v/>
      </c>
      <c r="P8" s="247" t="n">
        <v>19114.07</v>
      </c>
      <c r="Q8" s="89">
        <f>SUM(P8/D8)</f>
        <v/>
      </c>
      <c r="R8" s="130" t="n">
        <v>3443</v>
      </c>
      <c r="S8" s="26" t="n"/>
    </row>
    <row r="9" ht="15.6" customHeight="1">
      <c r="A9" s="409" t="inlineStr">
        <is>
          <t>Rosebank</t>
        </is>
      </c>
      <c r="B9" s="200">
        <f>'5 Oct - 11 Oct 2020'!D9</f>
        <v/>
      </c>
      <c r="C9" s="73" t="n">
        <v>321762.17</v>
      </c>
      <c r="D9" s="145" t="n">
        <v>220338.1</v>
      </c>
      <c r="E9" s="130" t="n">
        <v>597413.04</v>
      </c>
      <c r="F9" s="163">
        <f>IFERROR((SUM(D9-C9)/C9),0)</f>
        <v/>
      </c>
      <c r="G9" s="155">
        <f>IFERROR((SUM(D9-B9)/B9),0)</f>
        <v/>
      </c>
      <c r="H9" s="150" t="n">
        <v>808</v>
      </c>
      <c r="I9" s="63">
        <f>IFERROR(D9/H9,0)</f>
        <v/>
      </c>
      <c r="J9" s="61" t="n">
        <v>50</v>
      </c>
      <c r="K9" s="28">
        <f>IFERROR(J9/H9,0)</f>
        <v/>
      </c>
      <c r="L9" s="46">
        <f>'7 Sept - 13 Sept 2020'!K9+'14 Sept - 20 Sept 2020'!I9+'21 Sept - 27 Sept 2020'!I9+'28 Sept - 4 Oct 2020'!J9+J9+'5 Oct - 11 Oct 2020'!J9</f>
        <v/>
      </c>
      <c r="M9" s="172">
        <f>IFERROR(L9/SUM(H9),0)</f>
        <v/>
      </c>
      <c r="N9" s="247" t="n">
        <v>13543.87</v>
      </c>
      <c r="O9" s="89">
        <f>SUM(N9/D9)</f>
        <v/>
      </c>
      <c r="P9" s="247" t="n">
        <v>9203.610000000001</v>
      </c>
      <c r="Q9" s="89">
        <f>SUM(P9/D9)</f>
        <v/>
      </c>
      <c r="R9" s="130" t="n">
        <v>4668</v>
      </c>
      <c r="S9" s="26" t="n"/>
    </row>
    <row r="10" ht="15.6" customHeight="1">
      <c r="A10" s="411" t="inlineStr">
        <is>
          <t xml:space="preserve">Waterkloof </t>
        </is>
      </c>
      <c r="B10" s="200">
        <f>'5 Oct - 11 Oct 2020'!D10</f>
        <v/>
      </c>
      <c r="C10" s="73" t="n">
        <v>138165.29</v>
      </c>
      <c r="D10" s="145" t="n">
        <v>115678.41</v>
      </c>
      <c r="E10" s="130" t="n">
        <v>334064.94</v>
      </c>
      <c r="F10" s="163">
        <f>IFERROR((SUM(D10-C10)/C10),0)</f>
        <v/>
      </c>
      <c r="G10" s="155">
        <f>IFERROR((SUM(D10-B10)/B10),0)</f>
        <v/>
      </c>
      <c r="H10" s="150" t="n">
        <v>412</v>
      </c>
      <c r="I10" s="63">
        <f>IFERROR(D10/H10,0)</f>
        <v/>
      </c>
      <c r="J10" s="61" t="n">
        <v>16</v>
      </c>
      <c r="K10" s="28">
        <f>IFERROR(J10/H10,0)</f>
        <v/>
      </c>
      <c r="L10" s="46">
        <f>'7 Sept - 13 Sept 2020'!K10+'14 Sept - 20 Sept 2020'!I10+'21 Sept - 27 Sept 2020'!I10+'28 Sept - 4 Oct 2020'!J10+J10+'5 Oct - 11 Oct 2020'!J10</f>
        <v/>
      </c>
      <c r="M10" s="172">
        <f>IFERROR(L10/SUM(H10),0)</f>
        <v/>
      </c>
      <c r="N10" s="247" t="n">
        <v>30737.3</v>
      </c>
      <c r="O10" s="89">
        <f>SUM(N10/D10)</f>
        <v/>
      </c>
      <c r="P10" s="247" t="n">
        <v>17036.71</v>
      </c>
      <c r="Q10" s="89">
        <f>SUM(P10/D10)</f>
        <v/>
      </c>
      <c r="R10" s="130" t="n">
        <v>4856.4</v>
      </c>
      <c r="S10" s="26" t="n"/>
    </row>
    <row r="11" ht="15.6" customHeight="1">
      <c r="A11" s="409" t="inlineStr">
        <is>
          <t>Eagles Landing</t>
        </is>
      </c>
      <c r="B11" s="200">
        <f>'5 Oct - 11 Oct 2020'!D11</f>
        <v/>
      </c>
      <c r="C11" s="73" t="n">
        <v>325751.75</v>
      </c>
      <c r="D11" s="145" t="n">
        <v>229531.73</v>
      </c>
      <c r="E11" s="130" t="n">
        <v>676198.42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95</v>
      </c>
      <c r="K11" s="28">
        <f>IFERROR(J11/H11,0)</f>
        <v/>
      </c>
      <c r="L11" s="46">
        <f>'7 Sept - 13 Sept 2020'!K11+'14 Sept - 20 Sept 2020'!I11+'21 Sept - 27 Sept 2020'!I11+'28 Sept - 4 Oct 2020'!J11+J11+'5 Oct - 11 Oct 2020'!J11</f>
        <v/>
      </c>
      <c r="M11" s="172">
        <f>IFERROR(L11/SUM(H11),0)</f>
        <v/>
      </c>
      <c r="N11" s="247" t="n">
        <v>39996.17</v>
      </c>
      <c r="O11" s="89">
        <f>SUM(N11/D11)</f>
        <v/>
      </c>
      <c r="P11" s="247" t="n">
        <v>24058.26</v>
      </c>
      <c r="Q11" s="89">
        <f>SUM(P11/D11)</f>
        <v/>
      </c>
      <c r="R11" s="130" t="n">
        <v>8748</v>
      </c>
      <c r="S11" s="26" t="n"/>
    </row>
    <row r="12" ht="15.6" customHeight="1">
      <c r="A12" s="198" t="inlineStr">
        <is>
          <t>Stellenbosch</t>
        </is>
      </c>
      <c r="B12" s="200">
        <f>'5 Oct - 11 Oct 2020'!D12</f>
        <v/>
      </c>
      <c r="C12" s="73" t="n">
        <v>144094.25</v>
      </c>
      <c r="D12" s="145" t="n">
        <v>93061.89999999999</v>
      </c>
      <c r="E12" s="130" t="n">
        <v>240236.4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15</v>
      </c>
      <c r="K12" s="28">
        <f>IFERROR(J12/H12,0)</f>
        <v/>
      </c>
      <c r="L12" s="46">
        <f>'7 Sept - 13 Sept 2020'!K12+'14 Sept - 20 Sept 2020'!I12+'21 Sept - 27 Sept 2020'!I12+'28 Sept - 4 Oct 2020'!J12+J12+'5 Oct - 11 Oct 2020'!J12</f>
        <v/>
      </c>
      <c r="M12" s="172">
        <f>IFERROR(L12/SUM(H12),0)</f>
        <v/>
      </c>
      <c r="N12" s="247" t="n">
        <v>14923.84</v>
      </c>
      <c r="O12" s="89">
        <f>SUM(N12/D12)</f>
        <v/>
      </c>
      <c r="P12" s="247" t="n">
        <v>5008.74</v>
      </c>
      <c r="Q12" s="89">
        <f>SUM(P12/D12)</f>
        <v/>
      </c>
      <c r="R12" s="130" t="n">
        <v>6064.7</v>
      </c>
      <c r="S12" s="26" t="n"/>
    </row>
    <row r="13" ht="15.6" customHeight="1">
      <c r="A13" s="198" t="inlineStr">
        <is>
          <t>Lynnwood</t>
        </is>
      </c>
      <c r="B13" s="200">
        <f>'5 Oct - 11 Oct 2020'!D13</f>
        <v/>
      </c>
      <c r="C13" s="73" t="n">
        <v>204599.91</v>
      </c>
      <c r="D13" s="145" t="n">
        <v>160602.72</v>
      </c>
      <c r="E13" s="130" t="n">
        <v>455566.32</v>
      </c>
      <c r="F13" s="163">
        <f>IFERROR((SUM(D13-C13)/C13),0)</f>
        <v/>
      </c>
      <c r="G13" s="155">
        <f>IFERROR((SUM(D13-B13)/B13),0)</f>
        <v/>
      </c>
      <c r="H13" s="150" t="n">
        <v>638</v>
      </c>
      <c r="I13" s="63">
        <f>IFERROR(D13/H13,0)</f>
        <v/>
      </c>
      <c r="J13" s="61" t="n">
        <v>59</v>
      </c>
      <c r="K13" s="28">
        <f>IFERROR(J13/H13,0)</f>
        <v/>
      </c>
      <c r="L13" s="46">
        <f>'7 Sept - 13 Sept 2020'!K13+'14 Sept - 20 Sept 2020'!I13+'21 Sept - 27 Sept 2020'!I13+'28 Sept - 4 Oct 2020'!J13+J13+'5 Oct - 11 Oct 2020'!J13</f>
        <v/>
      </c>
      <c r="M13" s="172">
        <f>IFERROR(L13/SUM(H13),0)</f>
        <v/>
      </c>
      <c r="N13" s="247" t="n">
        <v>30509.48</v>
      </c>
      <c r="O13" s="89">
        <f>SUM(N13/D13)</f>
        <v/>
      </c>
      <c r="P13" s="247" t="n">
        <v>17658.8</v>
      </c>
      <c r="Q13" s="89">
        <f>SUM(P13/D13)</f>
        <v/>
      </c>
      <c r="R13" s="130" t="n">
        <v>6177</v>
      </c>
      <c r="S13" s="26" t="n"/>
    </row>
    <row r="14" hidden="1" ht="15.6" customHeight="1">
      <c r="A14" s="198" t="inlineStr">
        <is>
          <t>Wellington</t>
        </is>
      </c>
      <c r="B14" s="200">
        <f>'5 Oct - 11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Oct - 11 Oct 2020'!D15</f>
        <v/>
      </c>
      <c r="C15" s="73" t="n">
        <v>180048.8</v>
      </c>
      <c r="D15" s="145" t="n">
        <v>178044.11</v>
      </c>
      <c r="E15" s="130" t="n">
        <v>441091.24</v>
      </c>
      <c r="F15" s="163">
        <f>IFERROR((SUM(D15-C15)/C15),0)</f>
        <v/>
      </c>
      <c r="G15" s="155">
        <f>IFERROR((SUM(D15-B15)/B15),0)</f>
        <v/>
      </c>
      <c r="H15" s="150" t="n">
        <v>590</v>
      </c>
      <c r="I15" s="63">
        <f>IFERROR(D15/H15,0)</f>
        <v/>
      </c>
      <c r="J15" s="61" t="n">
        <v>69</v>
      </c>
      <c r="K15" s="28">
        <f>IFERROR(J15/H15,0)</f>
        <v/>
      </c>
      <c r="L15" s="46">
        <f>'7 Sept - 13 Sept 2020'!K15+'14 Sept - 20 Sept 2020'!I15+'21 Sept - 27 Sept 2020'!I15+'28 Sept - 4 Oct 2020'!J15+J15+'5 Oct - 11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14761.74</v>
      </c>
      <c r="Q15" s="89">
        <f>SUM(P15/D15)</f>
        <v/>
      </c>
      <c r="R15" s="130" t="n">
        <v>4155.05</v>
      </c>
      <c r="S15" s="9" t="n"/>
    </row>
    <row r="16" ht="15.6" customHeight="1">
      <c r="A16" s="198" t="inlineStr">
        <is>
          <t>Kyalami Corner</t>
        </is>
      </c>
      <c r="B16" s="200">
        <f>'5 Oct - 11 Oct 2020'!D16</f>
        <v/>
      </c>
      <c r="C16" s="73" t="n">
        <v>117244.55</v>
      </c>
      <c r="D16" s="145" t="n">
        <v>108945.64</v>
      </c>
      <c r="E16" s="130" t="n">
        <v>297528.83</v>
      </c>
      <c r="F16" s="163">
        <f>IFERROR((SUM(D16-C16)/C16),0)</f>
        <v/>
      </c>
      <c r="G16" s="155">
        <f>IFERROR((SUM(D16-B16)/B16),0)</f>
        <v/>
      </c>
      <c r="H16" s="150" t="n">
        <v>404</v>
      </c>
      <c r="I16" s="63">
        <f>IFERROR(D16/H16,0)</f>
        <v/>
      </c>
      <c r="J16" s="61" t="n">
        <v>28</v>
      </c>
      <c r="K16" s="28">
        <f>IFERROR(J16/H16,0)</f>
        <v/>
      </c>
      <c r="L16" s="46">
        <f>'7 Sept - 13 Sept 2020'!K16+'14 Sept - 20 Sept 2020'!I16+'21 Sept - 27 Sept 2020'!I16+'28 Sept - 4 Oct 2020'!J16+J16+'5 Oct - 11 Oct 2020'!J16</f>
        <v/>
      </c>
      <c r="M16" s="172">
        <f>IFERROR(L16/SUM(H16),0)</f>
        <v/>
      </c>
      <c r="N16" s="247" t="n">
        <v>13364.96</v>
      </c>
      <c r="O16" s="89">
        <f>SUM(N16/D16)</f>
        <v/>
      </c>
      <c r="P16" s="247" t="n">
        <v>14482.26</v>
      </c>
      <c r="Q16" s="89">
        <f>SUM(P16/D16)</f>
        <v/>
      </c>
      <c r="R16" s="130" t="n">
        <v>5943.5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'5 Oct - 11 Oct 2020'!D17</f>
        <v/>
      </c>
      <c r="C17" s="73" t="n">
        <v>219205.08</v>
      </c>
      <c r="D17" s="145" t="n">
        <v>186599.06</v>
      </c>
      <c r="E17" s="130" t="n">
        <v>468827.76</v>
      </c>
      <c r="F17" s="163">
        <f>IFERROR((SUM(D17-C17)/C17),0)</f>
        <v/>
      </c>
      <c r="G17" s="155">
        <f>IFERROR((SUM(D17-B17)/B17),0)</f>
        <v/>
      </c>
      <c r="H17" s="150" t="n">
        <v>691</v>
      </c>
      <c r="I17" s="63">
        <f>IFERROR(D17/H17,0)</f>
        <v/>
      </c>
      <c r="J17" s="61" t="n">
        <v>38</v>
      </c>
      <c r="K17" s="28">
        <f>IFERROR(J17/H17,0)</f>
        <v/>
      </c>
      <c r="L17" s="46">
        <f>'7 Sept - 13 Sept 2020'!K17+'14 Sept - 20 Sept 2020'!I17+'21 Sept - 27 Sept 2020'!I17+'28 Sept - 4 Oct 2020'!J17+J17+'5 Oct - 11 Oct 2020'!J17</f>
        <v/>
      </c>
      <c r="M17" s="172">
        <f>IFERROR(L17/SUM(H17),0)</f>
        <v/>
      </c>
      <c r="N17" s="247" t="n">
        <v>38817.86</v>
      </c>
      <c r="O17" s="89">
        <f>SUM(N17/D17)</f>
        <v/>
      </c>
      <c r="P17" s="247" t="n">
        <v>9242.17</v>
      </c>
      <c r="Q17" s="89">
        <f>SUM(P17/D17)</f>
        <v/>
      </c>
      <c r="R17" s="130" t="n">
        <v>2387.5</v>
      </c>
      <c r="S17" s="9" t="n"/>
    </row>
    <row r="18" ht="15.6" customHeight="1">
      <c r="A18" s="198" t="inlineStr">
        <is>
          <t>Queenswood</t>
        </is>
      </c>
      <c r="B18" s="200">
        <f>'5 Oct - 11 Oct 2020'!D18</f>
        <v/>
      </c>
      <c r="C18" s="73" t="n">
        <v>152946.78</v>
      </c>
      <c r="D18" s="145" t="n">
        <v>134728.09</v>
      </c>
      <c r="E18" s="130" t="n">
        <v>351823.45</v>
      </c>
      <c r="F18" s="163">
        <f>IFERROR((SUM(D18-C18)/C18),0)</f>
        <v/>
      </c>
      <c r="G18" s="155">
        <f>IFERROR((SUM(D18-B18)/B18),0)</f>
        <v/>
      </c>
      <c r="H18" s="150" t="n">
        <v>529</v>
      </c>
      <c r="I18" s="63">
        <f>IFERROR(D18/H18,0)</f>
        <v/>
      </c>
      <c r="J18" s="61" t="n">
        <v>46</v>
      </c>
      <c r="K18" s="28">
        <f>IFERROR(J18/H18,0)</f>
        <v/>
      </c>
      <c r="L18" s="46">
        <f>'7 Sept - 13 Sept 2020'!K18+'14 Sept - 20 Sept 2020'!I18+'21 Sept - 27 Sept 2020'!I18+'28 Sept - 4 Oct 2020'!J18+J18+'5 Oct - 11 Oct 2020'!J18</f>
        <v/>
      </c>
      <c r="M18" s="172">
        <f>IFERROR(L18/SUM(H18),0)</f>
        <v/>
      </c>
      <c r="N18" s="247" t="n">
        <v>19880.09</v>
      </c>
      <c r="O18" s="89">
        <f>SUM(N18/D18)</f>
        <v/>
      </c>
      <c r="P18" s="247" t="n">
        <v>1323.09</v>
      </c>
      <c r="Q18" s="89">
        <f>SUM(P18/D18)</f>
        <v/>
      </c>
      <c r="R18" s="130" t="n">
        <v>4010</v>
      </c>
      <c r="S18" s="9" t="n"/>
    </row>
    <row r="19" ht="16.2" customHeight="1" thickBot="1">
      <c r="A19" s="203" t="inlineStr">
        <is>
          <t>Centurion</t>
        </is>
      </c>
      <c r="B19" s="201">
        <f>'5 Oct - 11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Oct - 18 Oct 2020'!D6</f>
        <v/>
      </c>
      <c r="C6" s="123" t="n">
        <v>235865.3</v>
      </c>
      <c r="D6" s="197" t="n">
        <v>214564.31</v>
      </c>
      <c r="E6" s="254" t="n">
        <v>733546.23</v>
      </c>
      <c r="F6" s="162">
        <f>IFERROR((SUM(D6-C6)/C6),0)</f>
        <v/>
      </c>
      <c r="G6" s="154">
        <f>IFERROR((SUM(D6-B6)/B6),0)</f>
        <v/>
      </c>
      <c r="H6" s="149" t="n">
        <v>705</v>
      </c>
      <c r="I6" s="124">
        <f>IFERROR(D6/H6,0)</f>
        <v/>
      </c>
      <c r="J6" s="125" t="n">
        <v>23</v>
      </c>
      <c r="K6" s="126">
        <f>IFERROR(J6/H6,0)</f>
        <v/>
      </c>
      <c r="L6" s="46">
        <f>'7 Sept - 13 Sept 2020'!K6+'14 Sept - 20 Sept 2020'!I6+'21 Sept - 27 Sept 2020'!I6+'28 Sept - 4 Oct 2020'!J6+J6+'5 Oct - 11 Oct 2020'!J6+'12 Oct - 18 Oct 2020'!J6</f>
        <v/>
      </c>
      <c r="M6" s="171">
        <f>IFERROR(L6/SUM(H6),0)</f>
        <v/>
      </c>
      <c r="N6" s="246" t="n">
        <v>51386.04</v>
      </c>
      <c r="O6" s="128">
        <f>SUM(N6/D6)</f>
        <v/>
      </c>
      <c r="P6" s="247" t="n">
        <v>2026.09</v>
      </c>
      <c r="Q6" s="128">
        <f>SUM(P6/D6)</f>
        <v/>
      </c>
      <c r="R6" s="129" t="n">
        <v>6854.75</v>
      </c>
      <c r="S6" s="26" t="n"/>
    </row>
    <row r="7" ht="15.6" customHeight="1">
      <c r="A7" s="409" t="inlineStr">
        <is>
          <t>Melrose Arch</t>
        </is>
      </c>
      <c r="B7" s="200">
        <f>'12 Oct - 18 Oct 2020'!D7</f>
        <v/>
      </c>
      <c r="C7" s="73" t="n">
        <v>214438.2</v>
      </c>
      <c r="D7" s="145" t="n">
        <v>126698.91</v>
      </c>
      <c r="E7" s="130" t="n">
        <v>544841.63</v>
      </c>
      <c r="F7" s="163">
        <f>IFERROR((SUM(D7-C7)/C7),0)</f>
        <v/>
      </c>
      <c r="G7" s="155">
        <f>IFERROR((SUM(D7-B7)/B7),0)</f>
        <v/>
      </c>
      <c r="H7" s="150" t="n">
        <v>563</v>
      </c>
      <c r="I7" s="63">
        <f>IFERROR(D7/H7,0)</f>
        <v/>
      </c>
      <c r="J7" s="61" t="n">
        <v>39</v>
      </c>
      <c r="K7" s="28">
        <f>IFERROR(J7/H7,0)</f>
        <v/>
      </c>
      <c r="L7" s="46">
        <f>'7 Sept - 13 Sept 2020'!K7+'14 Sept - 20 Sept 2020'!I7+'21 Sept - 27 Sept 2020'!I7+'28 Sept - 4 Oct 2020'!J7+J7+'5 Oct - 11 Oct 2020'!J7+'12 Oct - 18 Oct 2020'!J7</f>
        <v/>
      </c>
      <c r="M7" s="172">
        <f>IFERROR(L7/SUM(H7),0)</f>
        <v/>
      </c>
      <c r="N7" s="247" t="n">
        <v>22623.87</v>
      </c>
      <c r="O7" s="89">
        <f>SUM(N7/D7)</f>
        <v/>
      </c>
      <c r="P7" s="247" t="n">
        <v>11340.7</v>
      </c>
      <c r="Q7" s="89">
        <f>SUM(P7/D7)</f>
        <v/>
      </c>
      <c r="R7" s="130" t="n">
        <v>7713.75</v>
      </c>
      <c r="S7" s="26" t="n"/>
    </row>
    <row r="8" ht="15.6" customHeight="1">
      <c r="A8" s="409" t="inlineStr">
        <is>
          <t>Melville</t>
        </is>
      </c>
      <c r="B8" s="200">
        <f>'12 Oct - 18 Oct 2020'!D8</f>
        <v/>
      </c>
      <c r="C8" s="73" t="n">
        <v>120214.3</v>
      </c>
      <c r="D8" s="145" t="n">
        <v>106467.28</v>
      </c>
      <c r="E8" s="130" t="n">
        <v>360228.67</v>
      </c>
      <c r="F8" s="163">
        <f>IFERROR((SUM(D8-C8)/C8),0)</f>
        <v/>
      </c>
      <c r="G8" s="155">
        <f>IFERROR((SUM(D8-B8)/B8),0)</f>
        <v/>
      </c>
      <c r="H8" s="150" t="n">
        <v>421</v>
      </c>
      <c r="I8" s="63">
        <f>IFERROR(D8/H8,0)</f>
        <v/>
      </c>
      <c r="J8" s="61" t="n">
        <v>11</v>
      </c>
      <c r="K8" s="28">
        <f>IFERROR(J8/H8,0)</f>
        <v/>
      </c>
      <c r="L8" s="46">
        <f>'7 Sept - 13 Sept 2020'!K8+'14 Sept - 20 Sept 2020'!I8+'21 Sept - 27 Sept 2020'!I8+'28 Sept - 4 Oct 2020'!J8+J8+'5 Oct - 11 Oct 2020'!J8+'12 Oct - 18 Oct 2020'!J8</f>
        <v/>
      </c>
      <c r="M8" s="172">
        <f>IFERROR(L8/SUM(H8),0)</f>
        <v/>
      </c>
      <c r="N8" s="247" t="n">
        <v>28687.41</v>
      </c>
      <c r="O8" s="89">
        <f>SUM(N8/D8)</f>
        <v/>
      </c>
      <c r="P8" s="247" t="n">
        <v>20252.54</v>
      </c>
      <c r="Q8" s="89">
        <f>SUM(P8/D8)</f>
        <v/>
      </c>
      <c r="R8" s="130" t="n">
        <v>1400.7</v>
      </c>
      <c r="S8" s="26" t="n"/>
    </row>
    <row r="9" ht="15.6" customHeight="1">
      <c r="A9" s="409" t="inlineStr">
        <is>
          <t>Rosebank</t>
        </is>
      </c>
      <c r="B9" s="200">
        <f>'12 Oct - 18 Oct 2020'!D9</f>
        <v/>
      </c>
      <c r="C9" s="73" t="n">
        <v>310997.4</v>
      </c>
      <c r="D9" s="145" t="n">
        <v>208535.73</v>
      </c>
      <c r="E9" s="130" t="n">
        <v>805948.77</v>
      </c>
      <c r="F9" s="163">
        <f>IFERROR((SUM(D9-C9)/C9),0)</f>
        <v/>
      </c>
      <c r="G9" s="155">
        <f>IFERROR((SUM(D9-B9)/B9),0)</f>
        <v/>
      </c>
      <c r="H9" s="150" t="n">
        <v>785</v>
      </c>
      <c r="I9" s="63">
        <f>IFERROR(D9/H9,0)</f>
        <v/>
      </c>
      <c r="J9" s="61" t="n">
        <v>26</v>
      </c>
      <c r="K9" s="28">
        <f>IFERROR(J9/H9,0)</f>
        <v/>
      </c>
      <c r="L9" s="46">
        <f>'7 Sept - 13 Sept 2020'!K9+'14 Sept - 20 Sept 2020'!I9+'21 Sept - 27 Sept 2020'!I9+'28 Sept - 4 Oct 2020'!J9+J9+'5 Oct - 11 Oct 2020'!J9+'12 Oct - 18 Oct 2020'!J9</f>
        <v/>
      </c>
      <c r="M9" s="172">
        <f>IFERROR(L9/SUM(H9),0)</f>
        <v/>
      </c>
      <c r="N9" s="247" t="n">
        <v>13815.76</v>
      </c>
      <c r="O9" s="89">
        <f>SUM(N9/D9)</f>
        <v/>
      </c>
      <c r="P9" s="247" t="n">
        <v>13370.48</v>
      </c>
      <c r="Q9" s="89">
        <f>SUM(P9/D9)</f>
        <v/>
      </c>
      <c r="R9" s="130" t="n">
        <v>5981.2</v>
      </c>
      <c r="S9" s="26" t="n"/>
    </row>
    <row r="10" ht="15.6" customHeight="1">
      <c r="A10" s="411" t="inlineStr">
        <is>
          <t xml:space="preserve">Waterkloof </t>
        </is>
      </c>
      <c r="B10" s="200">
        <f>'12 Oct - 18 Oct 2020'!D10</f>
        <v/>
      </c>
      <c r="C10" s="73" t="n">
        <v>136515.1</v>
      </c>
      <c r="D10" s="145" t="n">
        <v>137760.55</v>
      </c>
      <c r="E10" s="130" t="n">
        <v>469942.86</v>
      </c>
      <c r="F10" s="163">
        <f>IFERROR((SUM(D10-C10)/C10),0)</f>
        <v/>
      </c>
      <c r="G10" s="155">
        <f>IFERROR((SUM(D10-B10)/B10),0)</f>
        <v/>
      </c>
      <c r="H10" s="150" t="n">
        <v>510</v>
      </c>
      <c r="I10" s="63">
        <f>IFERROR(D10/H10,0)</f>
        <v/>
      </c>
      <c r="J10" s="61" t="n">
        <v>24</v>
      </c>
      <c r="K10" s="28">
        <f>IFERROR(J10/H10,0)</f>
        <v/>
      </c>
      <c r="L10" s="46">
        <f>'7 Sept - 13 Sept 2020'!K10+'14 Sept - 20 Sept 2020'!I10+'21 Sept - 27 Sept 2020'!I10+'28 Sept - 4 Oct 2020'!J10+J10+'5 Oct - 11 Oct 2020'!J10+'12 Oct - 18 Oct 2020'!J10</f>
        <v/>
      </c>
      <c r="M10" s="172">
        <f>IFERROR(L10/SUM(H10),0)</f>
        <v/>
      </c>
      <c r="N10" s="247" t="n">
        <v>32530.35</v>
      </c>
      <c r="O10" s="89">
        <f>SUM(N10/D10)</f>
        <v/>
      </c>
      <c r="P10" s="247" t="n">
        <v>29902.04</v>
      </c>
      <c r="Q10" s="89">
        <f>SUM(P10/D10)</f>
        <v/>
      </c>
      <c r="R10" s="130" t="n">
        <v>6343.55</v>
      </c>
      <c r="S10" s="26" t="n"/>
    </row>
    <row r="11" ht="15.6" customHeight="1">
      <c r="A11" s="409" t="inlineStr">
        <is>
          <t>Eagles Landing</t>
        </is>
      </c>
      <c r="B11" s="200">
        <f>'12 Oct - 18 Oct 2020'!D11</f>
        <v/>
      </c>
      <c r="C11" s="73" t="n">
        <v>315240.4</v>
      </c>
      <c r="D11" s="145" t="n">
        <v>250462.33</v>
      </c>
      <c r="E11" s="130" t="n">
        <v>926660.75</v>
      </c>
      <c r="F11" s="163">
        <f>IFERROR((SUM(D11-C11)/C11),0)</f>
        <v/>
      </c>
      <c r="G11" s="155">
        <f>IFERROR((SUM(D11-B11)/B11),0)</f>
        <v/>
      </c>
      <c r="H11" s="150" t="n">
        <v>953</v>
      </c>
      <c r="I11" s="63">
        <f>IFERROR(D11/H11,0)</f>
        <v/>
      </c>
      <c r="J11" s="61" t="n">
        <v>82</v>
      </c>
      <c r="K11" s="28">
        <f>IFERROR(J11/H11,0)</f>
        <v/>
      </c>
      <c r="L11" s="46">
        <f>'7 Sept - 13 Sept 2020'!K11+'14 Sept - 20 Sept 2020'!I11+'21 Sept - 27 Sept 2020'!I11+'28 Sept - 4 Oct 2020'!J11+J11+'5 Oct - 11 Oct 2020'!J11+'12 Oct - 18 Oct 2020'!J11</f>
        <v/>
      </c>
      <c r="M11" s="172">
        <f>IFERROR(L11/SUM(H11),0)</f>
        <v/>
      </c>
      <c r="N11" s="247" t="n">
        <v>46218.04</v>
      </c>
      <c r="O11" s="89">
        <f>SUM(N11/D11)</f>
        <v/>
      </c>
      <c r="P11" s="247" t="n">
        <v>19131.3</v>
      </c>
      <c r="Q11" s="89">
        <f>SUM(P11/D11)</f>
        <v/>
      </c>
      <c r="R11" s="130" t="n">
        <v>8288.299999999999</v>
      </c>
      <c r="S11" s="26" t="n"/>
    </row>
    <row r="12" ht="15.6" customHeight="1">
      <c r="A12" s="198" t="inlineStr">
        <is>
          <t>Stellenbosch</t>
        </is>
      </c>
      <c r="B12" s="200">
        <f>'12 Oct - 18 Oct 2020'!D12</f>
        <v/>
      </c>
      <c r="C12" s="73" t="n">
        <v>141945</v>
      </c>
      <c r="D12" s="145" t="n">
        <v>95623.24000000001</v>
      </c>
      <c r="E12" s="130" t="n">
        <v>335859.64</v>
      </c>
      <c r="F12" s="163">
        <f>IFERROR((SUM(D12-C12)/C12),0)</f>
        <v/>
      </c>
      <c r="G12" s="155">
        <f>IFERROR((SUM(D12-B12)/B12),0)</f>
        <v/>
      </c>
      <c r="H12" s="150" t="n">
        <v>388</v>
      </c>
      <c r="I12" s="63">
        <f>IFERROR(D12/H12,0)</f>
        <v/>
      </c>
      <c r="J12" s="61" t="n">
        <v>37</v>
      </c>
      <c r="K12" s="28">
        <f>IFERROR(J12/H12,0)</f>
        <v/>
      </c>
      <c r="L12" s="46">
        <f>'7 Sept - 13 Sept 2020'!K12+'14 Sept - 20 Sept 2020'!I12+'21 Sept - 27 Sept 2020'!I12+'28 Sept - 4 Oct 2020'!J12+J12+'5 Oct - 11 Oct 2020'!J12+'12 Oct - 18 Oct 2020'!J12</f>
        <v/>
      </c>
      <c r="M12" s="172">
        <f>IFERROR(L12/SUM(H12),0)</f>
        <v/>
      </c>
      <c r="N12" s="247" t="n">
        <v>12739.22</v>
      </c>
      <c r="O12" s="89">
        <f>SUM(N12/D12)</f>
        <v/>
      </c>
      <c r="P12" s="247" t="n">
        <v>2708.17</v>
      </c>
      <c r="Q12" s="89">
        <f>SUM(P12/D12)</f>
        <v/>
      </c>
      <c r="R12" s="130" t="n">
        <v>5857</v>
      </c>
      <c r="S12" s="26" t="n"/>
    </row>
    <row r="13" ht="15.6" customHeight="1">
      <c r="A13" s="198" t="inlineStr">
        <is>
          <t>Lynnwood</t>
        </is>
      </c>
      <c r="B13" s="200">
        <f>'12 Oct - 18 Oct 2020'!D13</f>
        <v/>
      </c>
      <c r="C13" s="73" t="n">
        <v>194970.4</v>
      </c>
      <c r="D13" s="145" t="n">
        <v>175444.48</v>
      </c>
      <c r="E13" s="130" t="n">
        <v>631010.8</v>
      </c>
      <c r="F13" s="163">
        <f>IFERROR((SUM(D13-C13)/C13),0)</f>
        <v/>
      </c>
      <c r="G13" s="155">
        <f>IFERROR((SUM(D13-B13)/B13),0)</f>
        <v/>
      </c>
      <c r="H13" s="150" t="n">
        <v>705</v>
      </c>
      <c r="I13" s="63">
        <f>IFERROR(D13/H13,0)</f>
        <v/>
      </c>
      <c r="J13" s="61" t="n">
        <v>58</v>
      </c>
      <c r="K13" s="28">
        <f>IFERROR(J13/H13,0)</f>
        <v/>
      </c>
      <c r="L13" s="46">
        <f>'7 Sept - 13 Sept 2020'!K13+'14 Sept - 20 Sept 2020'!I13+'21 Sept - 27 Sept 2020'!I13+'28 Sept - 4 Oct 2020'!J13+J13+'5 Oct - 11 Oct 2020'!J13+'12 Oct - 18 Oct 2020'!J13</f>
        <v/>
      </c>
      <c r="M13" s="172">
        <f>IFERROR(L13/SUM(H13),0)</f>
        <v/>
      </c>
      <c r="N13" s="247" t="n">
        <v>29133.96</v>
      </c>
      <c r="O13" s="89">
        <f>SUM(N13/D13)</f>
        <v/>
      </c>
      <c r="P13" s="247" t="n">
        <v>23411.56</v>
      </c>
      <c r="Q13" s="89">
        <f>SUM(P13/D13)</f>
        <v/>
      </c>
      <c r="R13" s="130" t="n">
        <v>6909.95</v>
      </c>
      <c r="S13" s="26" t="n"/>
    </row>
    <row r="14" hidden="1" ht="15.6" customHeight="1">
      <c r="A14" s="198" t="inlineStr">
        <is>
          <t>Wellington</t>
        </is>
      </c>
      <c r="B14" s="200">
        <f>'12 Oct - 18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'7 Sept - 13 Sept 2020'!K14+'14 Sept - 20 Sept 2020'!I14+'21 Sept - 27 Sept 2020'!I14+'28 Sept - 4 Oct 2020'!J14+J14+'5 Oct - 11 Oct 2020'!J14+'12 Oct - 18 Oct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Oct - 18 Oct 2020'!D15</f>
        <v/>
      </c>
      <c r="C15" s="73" t="n">
        <v>142533.7</v>
      </c>
      <c r="D15" s="145" t="n">
        <v>200931.58</v>
      </c>
      <c r="E15" s="130" t="n">
        <v>642022.8199999999</v>
      </c>
      <c r="F15" s="163">
        <f>IFERROR((SUM(D15-C15)/C15),0)</f>
        <v/>
      </c>
      <c r="G15" s="155">
        <f>IFERROR((SUM(D15-B15)/B15),0)</f>
        <v/>
      </c>
      <c r="H15" s="150" t="n">
        <v>674</v>
      </c>
      <c r="I15" s="63">
        <f>IFERROR(D15/H15,0)</f>
        <v/>
      </c>
      <c r="J15" s="61" t="n">
        <v>80</v>
      </c>
      <c r="K15" s="28">
        <f>IFERROR(J15/H15,0)</f>
        <v/>
      </c>
      <c r="L15" s="46">
        <f>'7 Sept - 13 Sept 2020'!K15+'14 Sept - 20 Sept 2020'!I15+'21 Sept - 27 Sept 2020'!I15+'28 Sept - 4 Oct 2020'!J15+J15+'5 Oct - 11 Oct 2020'!J15+'12 Oct - 18 Oct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19212.61</v>
      </c>
      <c r="Q15" s="89">
        <f>SUM(P15/D15)</f>
        <v/>
      </c>
      <c r="R15" s="130" t="n">
        <v>6312.1</v>
      </c>
      <c r="S15" s="9" t="n"/>
    </row>
    <row r="16" ht="15.6" customHeight="1">
      <c r="A16" s="198" t="inlineStr">
        <is>
          <t>Kyalami Corner</t>
        </is>
      </c>
      <c r="B16" s="200">
        <f>'12 Oct - 18 Oct 2020'!D16</f>
        <v/>
      </c>
      <c r="C16" s="73" t="n">
        <v>120179.4</v>
      </c>
      <c r="D16" s="145" t="n">
        <v>107591.84</v>
      </c>
      <c r="E16" s="130" t="n">
        <v>405120.67</v>
      </c>
      <c r="F16" s="163">
        <f>IFERROR((SUM(D16-C16)/C16),0)</f>
        <v/>
      </c>
      <c r="G16" s="155">
        <f>IFERROR((SUM(D16-B16)/B16),0)</f>
        <v/>
      </c>
      <c r="H16" s="150" t="n">
        <v>443</v>
      </c>
      <c r="I16" s="63">
        <f>IFERROR(D16/H16,0)</f>
        <v/>
      </c>
      <c r="J16" s="61" t="n">
        <v>25</v>
      </c>
      <c r="K16" s="28">
        <f>IFERROR(J16/H16,0)</f>
        <v/>
      </c>
      <c r="L16" s="46">
        <f>'7 Sept - 13 Sept 2020'!K16+'14 Sept - 20 Sept 2020'!I16+'21 Sept - 27 Sept 2020'!I16+'28 Sept - 4 Oct 2020'!J16+J16+'5 Oct - 11 Oct 2020'!J16+'12 Oct - 18 Oct 2020'!J16</f>
        <v/>
      </c>
      <c r="M16" s="172">
        <f>IFERROR(L16/SUM(H16),0)</f>
        <v/>
      </c>
      <c r="N16" s="247" t="n">
        <v>24415.21</v>
      </c>
      <c r="O16" s="89">
        <f>SUM(N16/D16)</f>
        <v/>
      </c>
      <c r="P16" s="247" t="n">
        <v>17450.17</v>
      </c>
      <c r="Q16" s="89">
        <f>SUM(P16/D16)</f>
        <v/>
      </c>
      <c r="R16" s="130" t="n">
        <v>4394.5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Oct - 18 Oct 2020'!D17</f>
        <v/>
      </c>
      <c r="C17" s="73" t="n">
        <v>227123.1</v>
      </c>
      <c r="D17" s="145" t="n">
        <v>179614.8</v>
      </c>
      <c r="E17" s="130" t="n">
        <v>648442.5600000001</v>
      </c>
      <c r="F17" s="163">
        <f>IFERROR((SUM(D17-C17)/C17),0)</f>
        <v/>
      </c>
      <c r="G17" s="155">
        <f>IFERROR((SUM(D17-B17)/B17),0)</f>
        <v/>
      </c>
      <c r="H17" s="150" t="n">
        <v>716</v>
      </c>
      <c r="I17" s="63">
        <f>IFERROR(D17/H17,0)</f>
        <v/>
      </c>
      <c r="J17" s="61" t="n">
        <v>26</v>
      </c>
      <c r="K17" s="28">
        <f>IFERROR(J17/H17,0)</f>
        <v/>
      </c>
      <c r="L17" s="46">
        <f>'7 Sept - 13 Sept 2020'!K17+'14 Sept - 20 Sept 2020'!I17+'21 Sept - 27 Sept 2020'!I17+'28 Sept - 4 Oct 2020'!J17+J17+'5 Oct - 11 Oct 2020'!J17+'12 Oct - 18 Oct 2020'!J17</f>
        <v/>
      </c>
      <c r="M17" s="172">
        <f>IFERROR(L17/SUM(H17),0)</f>
        <v/>
      </c>
      <c r="N17" s="247" t="n">
        <v>40709.83</v>
      </c>
      <c r="O17" s="89">
        <f>SUM(N17/D17)</f>
        <v/>
      </c>
      <c r="P17" s="247" t="n">
        <v>19712.35</v>
      </c>
      <c r="Q17" s="89">
        <f>SUM(P17/D17)</f>
        <v/>
      </c>
      <c r="R17" s="130" t="n">
        <v>1981.1</v>
      </c>
      <c r="S17" s="9" t="n"/>
    </row>
    <row r="18" ht="15.6" customHeight="1">
      <c r="A18" s="198" t="inlineStr">
        <is>
          <t>Queenswood</t>
        </is>
      </c>
      <c r="B18" s="200">
        <f>'12 Oct - 18 Oct 2020'!D18</f>
        <v/>
      </c>
      <c r="C18" s="73" t="n">
        <v>161595.1</v>
      </c>
      <c r="D18" s="145" t="n">
        <v>155614.62</v>
      </c>
      <c r="E18" s="130" t="n">
        <v>507438.07</v>
      </c>
      <c r="F18" s="163">
        <f>IFERROR((SUM(D18-C18)/C18),0)</f>
        <v/>
      </c>
      <c r="G18" s="155">
        <f>IFERROR((SUM(D18-B18)/B18),0)</f>
        <v/>
      </c>
      <c r="H18" s="150" t="n">
        <v>614</v>
      </c>
      <c r="I18" s="63">
        <f>IFERROR(D18/H18,0)</f>
        <v/>
      </c>
      <c r="J18" s="61" t="n">
        <v>79</v>
      </c>
      <c r="K18" s="28">
        <f>IFERROR(J18/H18,0)</f>
        <v/>
      </c>
      <c r="L18" s="46">
        <f>'7 Sept - 13 Sept 2020'!K18+'14 Sept - 20 Sept 2020'!I18+'21 Sept - 27 Sept 2020'!I18+'28 Sept - 4 Oct 2020'!J18+J18+'5 Oct - 11 Oct 2020'!J18+'12 Oct - 18 Oct 2020'!J18</f>
        <v/>
      </c>
      <c r="M18" s="172">
        <f>IFERROR(L18/SUM(H18),0)</f>
        <v/>
      </c>
      <c r="N18" s="247" t="n">
        <v>17640.84</v>
      </c>
      <c r="O18" s="89">
        <f>SUM(N18/D18)</f>
        <v/>
      </c>
      <c r="P18" s="247" t="n">
        <v>17256.43</v>
      </c>
      <c r="Q18" s="89">
        <f>SUM(P18/D18)</f>
        <v/>
      </c>
      <c r="R18" s="130" t="n">
        <v>4571.25</v>
      </c>
      <c r="S18" s="9" t="n"/>
    </row>
    <row r="19" ht="16.2" customHeight="1" thickBot="1">
      <c r="A19" s="203" t="inlineStr">
        <is>
          <t>Centurion</t>
        </is>
      </c>
      <c r="B19" s="201">
        <f>'12 Oct - 18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Oct - 25 Oct 2020'!D6</f>
        <v/>
      </c>
      <c r="C6" s="123" t="n">
        <v>230483.6</v>
      </c>
      <c r="D6" s="197" t="n">
        <v>214590.59</v>
      </c>
      <c r="E6" s="254" t="n">
        <v>35017.18</v>
      </c>
      <c r="F6" s="162">
        <f>IFERROR((SUM(D6-C6)/C6),0)</f>
        <v/>
      </c>
      <c r="G6" s="154">
        <f>IFERROR((SUM(D6-B6)/B6),0)</f>
        <v/>
      </c>
      <c r="H6" s="149" t="n">
        <v>703</v>
      </c>
      <c r="I6" s="124">
        <f>IFERROR(D6/H6,0)</f>
        <v/>
      </c>
      <c r="J6" s="125" t="n">
        <v>77</v>
      </c>
      <c r="K6" s="126">
        <f>IFERROR(J6/H6,0)</f>
        <v/>
      </c>
      <c r="L6" s="46">
        <f>J6</f>
        <v/>
      </c>
      <c r="M6" s="171">
        <f>IFERROR(L6/SUM(H6),0)</f>
        <v/>
      </c>
      <c r="N6" s="246" t="n">
        <v>37957.04</v>
      </c>
      <c r="O6" s="128">
        <f>SUM(N6/D6)</f>
        <v/>
      </c>
      <c r="P6" s="247" t="n">
        <v>3725.22</v>
      </c>
      <c r="Q6" s="128">
        <f>SUM(P6/D6)</f>
        <v/>
      </c>
      <c r="R6" s="129" t="n">
        <v>5621.1</v>
      </c>
      <c r="S6" s="26" t="n"/>
    </row>
    <row r="7" ht="15.6" customHeight="1">
      <c r="A7" s="409" t="inlineStr">
        <is>
          <t>Melrose Arch</t>
        </is>
      </c>
      <c r="B7" s="200">
        <f>'19 Oct - 25 Oct 2020'!D7</f>
        <v/>
      </c>
      <c r="C7" s="73" t="n">
        <v>291263.9</v>
      </c>
      <c r="D7" s="145" t="n">
        <v>179179</v>
      </c>
      <c r="E7" s="130" t="n">
        <v>20499.98</v>
      </c>
      <c r="F7" s="163">
        <f>IFERROR((SUM(D7-C7)/C7),0)</f>
        <v/>
      </c>
      <c r="G7" s="155">
        <f>IFERROR((SUM(D7-B7)/B7),0)</f>
        <v/>
      </c>
      <c r="H7" s="150" t="n">
        <v>672</v>
      </c>
      <c r="I7" s="63">
        <f>IFERROR(D7/H7,0)</f>
        <v/>
      </c>
      <c r="J7" s="61" t="n">
        <v>75</v>
      </c>
      <c r="K7" s="28">
        <f>IFERROR(J7/H7,0)</f>
        <v/>
      </c>
      <c r="L7" s="46">
        <f>J7</f>
        <v/>
      </c>
      <c r="M7" s="172">
        <f>IFERROR(L7/SUM(H7),0)</f>
        <v/>
      </c>
      <c r="N7" s="247" t="n">
        <v>26675.97</v>
      </c>
      <c r="O7" s="89">
        <f>SUM(N7/D7)</f>
        <v/>
      </c>
      <c r="P7" s="247" t="n">
        <v>11376.83</v>
      </c>
      <c r="Q7" s="89">
        <f>SUM(P7/D7)</f>
        <v/>
      </c>
      <c r="R7" s="130" t="n">
        <v>11283.96</v>
      </c>
      <c r="S7" s="26" t="n"/>
    </row>
    <row r="8" ht="15.6" customHeight="1">
      <c r="A8" s="409" t="inlineStr">
        <is>
          <t>Melville</t>
        </is>
      </c>
      <c r="B8" s="200">
        <f>'19 Oct - 25 Oct 2020'!D8</f>
        <v/>
      </c>
      <c r="C8" s="73" t="n">
        <v>105575.4</v>
      </c>
      <c r="D8" s="145" t="n">
        <v>124514.14</v>
      </c>
      <c r="E8" s="130" t="n">
        <v>12959.32</v>
      </c>
      <c r="F8" s="163">
        <f>IFERROR((SUM(D8-C8)/C8),0)</f>
        <v/>
      </c>
      <c r="G8" s="155">
        <f>IFERROR((SUM(D8-B8)/B8),0)</f>
        <v/>
      </c>
      <c r="H8" s="150" t="n">
        <v>473</v>
      </c>
      <c r="I8" s="63">
        <f>IFERROR(D8/H8,0)</f>
        <v/>
      </c>
      <c r="J8" s="61" t="n">
        <v>97</v>
      </c>
      <c r="K8" s="28">
        <f>IFERROR(J8/H8,0)</f>
        <v/>
      </c>
      <c r="L8" s="46">
        <f>J8</f>
        <v/>
      </c>
      <c r="M8" s="172">
        <f>IFERROR(L8/SUM(H8),0)</f>
        <v/>
      </c>
      <c r="N8" s="247" t="n">
        <v>33780.13</v>
      </c>
      <c r="O8" s="89">
        <f>SUM(N8/D8)</f>
        <v/>
      </c>
      <c r="P8" s="247" t="n">
        <v>13468.87</v>
      </c>
      <c r="Q8" s="89">
        <f>SUM(P8/D8)</f>
        <v/>
      </c>
      <c r="R8" s="130" t="n">
        <v>2403</v>
      </c>
      <c r="S8" s="26" t="n"/>
    </row>
    <row r="9" ht="15.6" customHeight="1">
      <c r="A9" s="409" t="inlineStr">
        <is>
          <t>Rosebank</t>
        </is>
      </c>
      <c r="B9" s="200">
        <f>'19 Oct - 25 Oct 2020'!D9</f>
        <v/>
      </c>
      <c r="C9" s="73" t="n">
        <v>333384.4</v>
      </c>
      <c r="D9" s="145" t="n">
        <v>262313.21</v>
      </c>
      <c r="E9" s="130" t="n">
        <v>35005.27</v>
      </c>
      <c r="F9" s="163">
        <f>IFERROR((SUM(D9-C9)/C9),0)</f>
        <v/>
      </c>
      <c r="G9" s="155">
        <f>IFERROR((SUM(D9-B9)/B9),0)</f>
        <v/>
      </c>
      <c r="H9" s="150" t="n">
        <v>902</v>
      </c>
      <c r="I9" s="63">
        <f>IFERROR(D9/H9,0)</f>
        <v/>
      </c>
      <c r="J9" s="61" t="n">
        <v>109</v>
      </c>
      <c r="K9" s="28">
        <f>IFERROR(J9/H9,0)</f>
        <v/>
      </c>
      <c r="L9" s="46">
        <f>J9</f>
        <v/>
      </c>
      <c r="M9" s="172">
        <f>IFERROR(L9/SUM(H9),0)</f>
        <v/>
      </c>
      <c r="N9" s="247" t="n">
        <v>18927.5</v>
      </c>
      <c r="O9" s="89">
        <f>SUM(N9/D9)</f>
        <v/>
      </c>
      <c r="P9" s="247" t="n">
        <v>16521.17</v>
      </c>
      <c r="Q9" s="89">
        <f>SUM(P9/D9)</f>
        <v/>
      </c>
      <c r="R9" s="130" t="n">
        <v>5628.95</v>
      </c>
      <c r="S9" s="26" t="n"/>
    </row>
    <row r="10" ht="15.6" customHeight="1">
      <c r="A10" s="411" t="inlineStr">
        <is>
          <t xml:space="preserve">Waterkloof </t>
        </is>
      </c>
      <c r="B10" s="200">
        <f>'19 Oct - 25 Oct 2020'!D10</f>
        <v/>
      </c>
      <c r="C10" s="73" t="n">
        <v>143482.1</v>
      </c>
      <c r="D10" s="145" t="n">
        <v>126652.18</v>
      </c>
      <c r="E10" s="130" t="n">
        <v>15753.18</v>
      </c>
      <c r="F10" s="163">
        <f>IFERROR((SUM(D10-C10)/C10),0)</f>
        <v/>
      </c>
      <c r="G10" s="155">
        <f>IFERROR((SUM(D10-B10)/B10),0)</f>
        <v/>
      </c>
      <c r="H10" s="150" t="n">
        <v>503</v>
      </c>
      <c r="I10" s="63">
        <f>IFERROR(D10/H10,0)</f>
        <v/>
      </c>
      <c r="J10" s="61" t="n">
        <v>104</v>
      </c>
      <c r="K10" s="28">
        <f>IFERROR(J10/H10,0)</f>
        <v/>
      </c>
      <c r="L10" s="46">
        <f>J10</f>
        <v/>
      </c>
      <c r="M10" s="172">
        <f>IFERROR(L10/SUM(H10),0)</f>
        <v/>
      </c>
      <c r="N10" s="247" t="n">
        <v>31382.02</v>
      </c>
      <c r="O10" s="89">
        <f>SUM(N10/D10)</f>
        <v/>
      </c>
      <c r="P10" s="247" t="n">
        <v>25068.57</v>
      </c>
      <c r="Q10" s="89">
        <f>SUM(P10/D10)</f>
        <v/>
      </c>
      <c r="R10" s="130" t="n">
        <v>5773.5</v>
      </c>
      <c r="S10" s="26" t="n"/>
    </row>
    <row r="11" ht="15.6" customHeight="1">
      <c r="A11" s="409" t="inlineStr">
        <is>
          <t>Eagles Landing</t>
        </is>
      </c>
      <c r="B11" s="200">
        <f>'19 Oct - 25 Oct 2020'!D11</f>
        <v/>
      </c>
      <c r="C11" s="73" t="n">
        <v>341926.5</v>
      </c>
      <c r="D11" s="145" t="n">
        <v>261185.64</v>
      </c>
      <c r="E11" s="130" t="n">
        <v>31801.46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102</v>
      </c>
      <c r="K11" s="28">
        <f>IFERROR(J11/H11,0)</f>
        <v/>
      </c>
      <c r="L11" s="46">
        <f>J11</f>
        <v/>
      </c>
      <c r="M11" s="172">
        <f>IFERROR(L11/SUM(H11),0)</f>
        <v/>
      </c>
      <c r="N11" s="247" t="n">
        <v>40542.56</v>
      </c>
      <c r="O11" s="89">
        <f>SUM(N11/D11)</f>
        <v/>
      </c>
      <c r="P11" s="247" t="n">
        <v>28851.3</v>
      </c>
      <c r="Q11" s="89">
        <f>SUM(P11/D11)</f>
        <v/>
      </c>
      <c r="R11" s="130" t="n">
        <v>14048.35</v>
      </c>
      <c r="S11" s="26" t="n"/>
    </row>
    <row r="12" ht="15.6" customHeight="1">
      <c r="A12" s="198" t="inlineStr">
        <is>
          <t>Stellenbosch</t>
        </is>
      </c>
      <c r="B12" s="200">
        <f>'19 Oct - 25 Oct 2020'!D12</f>
        <v/>
      </c>
      <c r="C12" s="73" t="n">
        <v>142162.9</v>
      </c>
      <c r="D12" s="145" t="n">
        <v>102439.49</v>
      </c>
      <c r="E12" s="130" t="n">
        <v>15820.84</v>
      </c>
      <c r="F12" s="163">
        <f>IFERROR((SUM(D12-C12)/C12),0)</f>
        <v/>
      </c>
      <c r="G12" s="155">
        <f>IFERROR((SUM(D12-B12)/B12),0)</f>
        <v/>
      </c>
      <c r="H12" s="150" t="n">
        <v>383</v>
      </c>
      <c r="I12" s="63">
        <f>IFERROR(D12/H12,0)</f>
        <v/>
      </c>
      <c r="J12" s="61" t="n">
        <v>21</v>
      </c>
      <c r="K12" s="28">
        <f>IFERROR(J12/H12,0)</f>
        <v/>
      </c>
      <c r="L12" s="46">
        <f>J12</f>
        <v/>
      </c>
      <c r="M12" s="172">
        <f>IFERROR(L12/SUM(H12),0)</f>
        <v/>
      </c>
      <c r="N12" s="247" t="n">
        <v>11387.57</v>
      </c>
      <c r="O12" s="89">
        <f>SUM(N12/D12)</f>
        <v/>
      </c>
      <c r="P12" s="247" t="n">
        <v>5650.69</v>
      </c>
      <c r="Q12" s="89">
        <f>SUM(P12/D12)</f>
        <v/>
      </c>
      <c r="R12" s="130" t="n">
        <v>6715.5</v>
      </c>
      <c r="S12" s="26" t="n"/>
    </row>
    <row r="13" ht="15.6" customHeight="1">
      <c r="A13" s="198" t="inlineStr">
        <is>
          <t>Lynnwood</t>
        </is>
      </c>
      <c r="B13" s="200">
        <f>'19 Oct - 25 Oct 2020'!D13</f>
        <v/>
      </c>
      <c r="C13" s="73" t="n">
        <v>153888.9</v>
      </c>
      <c r="D13" s="145" t="n">
        <v>195768.86</v>
      </c>
      <c r="E13" s="130" t="n">
        <v>26019.27</v>
      </c>
      <c r="F13" s="163">
        <f>IFERROR((SUM(D13-C13)/C13),0)</f>
        <v/>
      </c>
      <c r="G13" s="155">
        <f>IFERROR((SUM(D13-B13)/B13),0)</f>
        <v/>
      </c>
      <c r="H13" s="150" t="n">
        <v>747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</f>
        <v/>
      </c>
      <c r="M13" s="172">
        <f>IFERROR(L13/SUM(H13),0)</f>
        <v/>
      </c>
      <c r="N13" s="247" t="n">
        <v>29330.3</v>
      </c>
      <c r="O13" s="89">
        <f>SUM(N13/D13)</f>
        <v/>
      </c>
      <c r="P13" s="247" t="n">
        <v>30604.35</v>
      </c>
      <c r="Q13" s="89">
        <f>SUM(P13/D13)</f>
        <v/>
      </c>
      <c r="R13" s="130" t="n">
        <v>6063</v>
      </c>
      <c r="S13" s="26" t="n"/>
    </row>
    <row r="14" hidden="1" ht="15.6" customHeight="1">
      <c r="A14" s="198" t="inlineStr">
        <is>
          <t>Wellington</t>
        </is>
      </c>
      <c r="B14" s="200">
        <f>'19 Oct - 25 Oct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Oct - 25 Oct 2020'!D15</f>
        <v/>
      </c>
      <c r="C15" s="73" t="n">
        <v>161616.7</v>
      </c>
      <c r="D15" s="145" t="n">
        <v>256522.34</v>
      </c>
      <c r="E15" s="130" t="n">
        <v>30376.92</v>
      </c>
      <c r="F15" s="163">
        <f>IFERROR((SUM(D15-C15)/C15),0)</f>
        <v/>
      </c>
      <c r="G15" s="155">
        <f>IFERROR((SUM(D15-B15)/B15),0)</f>
        <v/>
      </c>
      <c r="H15" s="150" t="n">
        <v>785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23015.65</v>
      </c>
      <c r="Q15" s="89">
        <f>SUM(P15/D15)</f>
        <v/>
      </c>
      <c r="R15" s="130" t="n">
        <v>6292.25</v>
      </c>
      <c r="S15" s="9" t="n"/>
    </row>
    <row r="16" ht="15.6" customHeight="1">
      <c r="A16" s="198" t="inlineStr">
        <is>
          <t>Kyalami Corner</t>
        </is>
      </c>
      <c r="B16" s="200">
        <f>'19 Oct - 25 Oct 2020'!D16</f>
        <v/>
      </c>
      <c r="C16" s="73" t="n">
        <v>119031.9</v>
      </c>
      <c r="D16" s="145" t="n">
        <v>123882.99</v>
      </c>
      <c r="E16" s="130" t="n">
        <v>16361.17</v>
      </c>
      <c r="F16" s="163">
        <f>IFERROR((SUM(D16-C16)/C16),0)</f>
        <v/>
      </c>
      <c r="G16" s="155">
        <f>IFERROR((SUM(D16-B16)/B16),0)</f>
        <v/>
      </c>
      <c r="H16" s="150" t="n">
        <v>482</v>
      </c>
      <c r="I16" s="63">
        <f>IFERROR(D16/H16,0)</f>
        <v/>
      </c>
      <c r="J16" s="61" t="n">
        <v>67</v>
      </c>
      <c r="K16" s="28">
        <f>IFERROR(J16/H16,0)</f>
        <v/>
      </c>
      <c r="L16" s="46">
        <f>J16</f>
        <v/>
      </c>
      <c r="M16" s="172">
        <f>IFERROR(L16/SUM(H16),0)</f>
        <v/>
      </c>
      <c r="N16" s="247" t="n">
        <v>23001.21</v>
      </c>
      <c r="O16" s="89">
        <f>SUM(N16/D16)</f>
        <v/>
      </c>
      <c r="P16" s="247" t="n">
        <v>15474.91</v>
      </c>
      <c r="Q16" s="89">
        <f>SUM(P16/D16)</f>
        <v/>
      </c>
      <c r="R16" s="130" t="n">
        <v>5665.8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Oct - 25 Oct 2020'!D17</f>
        <v/>
      </c>
      <c r="C17" s="73" t="n">
        <v>214868.5</v>
      </c>
      <c r="D17" s="145" t="n">
        <v>194764.01</v>
      </c>
      <c r="E17" s="130" t="n">
        <v>22891</v>
      </c>
      <c r="F17" s="163">
        <f>IFERROR((SUM(D17-C17)/C17),0)</f>
        <v/>
      </c>
      <c r="G17" s="155">
        <f>IFERROR((SUM(D17-B17)/B17),0)</f>
        <v/>
      </c>
      <c r="H17" s="150" t="n">
        <v>750</v>
      </c>
      <c r="I17" s="63">
        <f>IFERROR(D17/H17,0)</f>
        <v/>
      </c>
      <c r="J17" s="61" t="n">
        <v>152</v>
      </c>
      <c r="K17" s="28">
        <f>IFERROR(J17/H17,0)</f>
        <v/>
      </c>
      <c r="L17" s="46">
        <f>J17</f>
        <v/>
      </c>
      <c r="M17" s="172">
        <f>IFERROR(L17/SUM(H17),0)</f>
        <v/>
      </c>
      <c r="N17" s="247" t="n">
        <v>39565.65</v>
      </c>
      <c r="O17" s="89">
        <f>SUM(N17/D17)</f>
        <v/>
      </c>
      <c r="P17" s="247" t="n">
        <v>14431.17</v>
      </c>
      <c r="Q17" s="89">
        <f>SUM(P17/D17)</f>
        <v/>
      </c>
      <c r="R17" s="130" t="n">
        <v>2289.8</v>
      </c>
      <c r="S17" s="9" t="n"/>
    </row>
    <row r="18" ht="15.6" customHeight="1">
      <c r="A18" s="198" t="inlineStr">
        <is>
          <t>Queenswood</t>
        </is>
      </c>
      <c r="B18" s="200">
        <f>'19 Oct - 25 Oct 2020'!D18</f>
        <v/>
      </c>
      <c r="C18" s="73" t="n">
        <v>185238.7</v>
      </c>
      <c r="D18" s="145" t="n">
        <v>163143.88</v>
      </c>
      <c r="E18" s="130" t="n">
        <v>22567.27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97</v>
      </c>
      <c r="K18" s="28">
        <f>IFERROR(J18/H18,0)</f>
        <v/>
      </c>
      <c r="L18" s="46">
        <f>J18</f>
        <v/>
      </c>
      <c r="M18" s="172">
        <f>IFERROR(L18/SUM(H18),0)</f>
        <v/>
      </c>
      <c r="N18" s="247" t="n">
        <v>26054.23</v>
      </c>
      <c r="O18" s="89">
        <f>SUM(N18/D18)</f>
        <v/>
      </c>
      <c r="P18" s="247" t="n">
        <v>17572.37</v>
      </c>
      <c r="Q18" s="89">
        <f>SUM(P18/D18)</f>
        <v/>
      </c>
      <c r="R18" s="130" t="n">
        <v>7177.97</v>
      </c>
      <c r="S18" s="9" t="n"/>
    </row>
    <row r="19" ht="16.2" customHeight="1" thickBot="1">
      <c r="A19" s="203" t="inlineStr">
        <is>
          <t>Centurion</t>
        </is>
      </c>
      <c r="B19" s="201">
        <f>'19 Oct - 25 Oct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212" t="n">
        <v>0</v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Oct - 1 Nov 2020'!D6</f>
        <v/>
      </c>
      <c r="C6" s="123" t="n">
        <v>228976.77</v>
      </c>
      <c r="D6" s="197" t="n">
        <v>189591.76</v>
      </c>
      <c r="E6" s="254" t="n">
        <v>224608.94</v>
      </c>
      <c r="F6" s="162">
        <f>IFERROR((SUM(D6-C6)/C6),0)</f>
        <v/>
      </c>
      <c r="G6" s="154">
        <f>IFERROR((SUM(D6-B6)/B6),0)</f>
        <v/>
      </c>
      <c r="H6" s="149" t="n">
        <v>630</v>
      </c>
      <c r="I6" s="124">
        <f>IFERROR(D6/H6,0)</f>
        <v/>
      </c>
      <c r="J6" s="125" t="n">
        <v>44</v>
      </c>
      <c r="K6" s="126">
        <f>IFERROR(J6/H6,0)</f>
        <v/>
      </c>
      <c r="L6" s="46">
        <f>J6+'26 Oct - 1 Nov 2020'!J6</f>
        <v/>
      </c>
      <c r="M6" s="171">
        <f>IFERROR(L6/SUM(H6),0)</f>
        <v/>
      </c>
      <c r="N6" s="246" t="n">
        <v>44041.96</v>
      </c>
      <c r="O6" s="128">
        <f>SUM(N6/D6)</f>
        <v/>
      </c>
      <c r="P6" s="247" t="n">
        <v>373.61</v>
      </c>
      <c r="Q6" s="128">
        <f>SUM(P6/D6)</f>
        <v/>
      </c>
      <c r="R6" s="129" t="n">
        <v>6643.5</v>
      </c>
      <c r="S6" s="26" t="n"/>
    </row>
    <row r="7" ht="15.6" customHeight="1">
      <c r="A7" s="409" t="inlineStr">
        <is>
          <t>Melrose Arch</t>
        </is>
      </c>
      <c r="B7" s="200">
        <f>'26 Oct - 1 Nov 2020'!D7</f>
        <v/>
      </c>
      <c r="C7" s="73" t="n">
        <v>203728.44</v>
      </c>
      <c r="D7" s="145" t="n">
        <v>153723.91</v>
      </c>
      <c r="E7" s="130" t="n">
        <v>174223.89</v>
      </c>
      <c r="F7" s="163">
        <f>IFERROR((SUM(D7-C7)/C7),0)</f>
        <v/>
      </c>
      <c r="G7" s="155">
        <f>IFERROR((SUM(D7-B7)/B7),0)</f>
        <v/>
      </c>
      <c r="H7" s="150" t="n">
        <v>613</v>
      </c>
      <c r="I7" s="63">
        <f>IFERROR(D7/H7,0)</f>
        <v/>
      </c>
      <c r="J7" s="61" t="n">
        <v>40</v>
      </c>
      <c r="K7" s="28">
        <f>IFERROR(J7/H7,0)</f>
        <v/>
      </c>
      <c r="L7" s="46">
        <f>J7+'26 Oct - 1 Nov 2020'!J7</f>
        <v/>
      </c>
      <c r="M7" s="172">
        <f>IFERROR(L7/SUM(H7),0)</f>
        <v/>
      </c>
      <c r="N7" s="247" t="n">
        <v>17367.43</v>
      </c>
      <c r="O7" s="89">
        <f>SUM(N7/D7)</f>
        <v/>
      </c>
      <c r="P7" s="247" t="n">
        <v>12824.39</v>
      </c>
      <c r="Q7" s="89">
        <f>SUM(P7/D7)</f>
        <v/>
      </c>
      <c r="R7" s="130" t="n">
        <v>10540.3</v>
      </c>
      <c r="S7" s="26" t="n"/>
    </row>
    <row r="8" ht="15.6" customHeight="1">
      <c r="A8" s="409" t="inlineStr">
        <is>
          <t>Melville</t>
        </is>
      </c>
      <c r="B8" s="200">
        <f>'26 Oct - 1 Nov 2020'!D8</f>
        <v/>
      </c>
      <c r="C8" s="73" t="n">
        <v>108699.37</v>
      </c>
      <c r="D8" s="145" t="n">
        <v>101357.56</v>
      </c>
      <c r="E8" s="130" t="n">
        <v>114316.88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29</v>
      </c>
      <c r="K8" s="28">
        <f>IFERROR(J8/H8,0)</f>
        <v/>
      </c>
      <c r="L8" s="46">
        <f>J8+'26 Oct - 1 Nov 2020'!J8</f>
        <v/>
      </c>
      <c r="M8" s="172">
        <f>IFERROR(L8/SUM(H8),0)</f>
        <v/>
      </c>
      <c r="N8" s="247" t="n">
        <v>26407.64</v>
      </c>
      <c r="O8" s="89">
        <f>SUM(N8/D8)</f>
        <v/>
      </c>
      <c r="P8" s="247" t="n">
        <v>12375.96</v>
      </c>
      <c r="Q8" s="89">
        <f>SUM(P8/D8)</f>
        <v/>
      </c>
      <c r="R8" s="130" t="n">
        <v>2574.5</v>
      </c>
      <c r="S8" s="26" t="n"/>
    </row>
    <row r="9" ht="15.6" customHeight="1">
      <c r="A9" s="409" t="inlineStr">
        <is>
          <t>Rosebank</t>
        </is>
      </c>
      <c r="B9" s="200">
        <f>'26 Oct - 1 Nov 2020'!D9</f>
        <v/>
      </c>
      <c r="C9" s="73" t="n">
        <v>318828.8</v>
      </c>
      <c r="D9" s="145" t="n">
        <v>224364.68</v>
      </c>
      <c r="E9" s="130" t="n">
        <v>259369.95</v>
      </c>
      <c r="F9" s="163">
        <f>IFERROR((SUM(D9-C9)/C9),0)</f>
        <v/>
      </c>
      <c r="G9" s="155">
        <f>IFERROR((SUM(D9-B9)/B9),0)</f>
        <v/>
      </c>
      <c r="H9" s="150" t="n">
        <v>790</v>
      </c>
      <c r="I9" s="63">
        <f>IFERROR(D9/H9,0)</f>
        <v/>
      </c>
      <c r="J9" s="61" t="n">
        <v>68</v>
      </c>
      <c r="K9" s="28">
        <f>IFERROR(J9/H9,0)</f>
        <v/>
      </c>
      <c r="L9" s="46">
        <f>J9+'26 Oct - 1 Nov 2020'!J9</f>
        <v/>
      </c>
      <c r="M9" s="172">
        <f>IFERROR(L9/SUM(H9),0)</f>
        <v/>
      </c>
      <c r="N9" s="247" t="n">
        <v>15737.43</v>
      </c>
      <c r="O9" s="89">
        <f>SUM(N9/D9)</f>
        <v/>
      </c>
      <c r="P9" s="247" t="n">
        <v>9334.700000000001</v>
      </c>
      <c r="Q9" s="89">
        <f>SUM(P9/D9)</f>
        <v/>
      </c>
      <c r="R9" s="130" t="n">
        <v>4635.35</v>
      </c>
      <c r="S9" s="26" t="n"/>
    </row>
    <row r="10" ht="15.6" customHeight="1">
      <c r="A10" s="411" t="inlineStr">
        <is>
          <t xml:space="preserve">Waterkloof </t>
        </is>
      </c>
      <c r="B10" s="200">
        <f>'26 Oct - 1 Nov 2020'!D10</f>
        <v/>
      </c>
      <c r="C10" s="73" t="n">
        <v>132983.03</v>
      </c>
      <c r="D10" s="145" t="n">
        <v>122526.09</v>
      </c>
      <c r="E10" s="130" t="n">
        <v>138279.27</v>
      </c>
      <c r="F10" s="163">
        <f>IFERROR((SUM(D10-C10)/C10),0)</f>
        <v/>
      </c>
      <c r="G10" s="155">
        <f>IFERROR((SUM(D10-B10)/B10),0)</f>
        <v/>
      </c>
      <c r="H10" s="150" t="n">
        <v>461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J10+'26 Oct - 1 Nov 2020'!J10</f>
        <v/>
      </c>
      <c r="M10" s="172">
        <f>IFERROR(L10/SUM(H10),0)</f>
        <v/>
      </c>
      <c r="N10" s="247" t="n">
        <v>29257.96</v>
      </c>
      <c r="O10" s="89">
        <f>SUM(N10/D10)</f>
        <v/>
      </c>
      <c r="P10" s="247" t="n">
        <v>23318.23</v>
      </c>
      <c r="Q10" s="89">
        <f>SUM(P10/D10)</f>
        <v/>
      </c>
      <c r="R10" s="130" t="n">
        <v>3413.68</v>
      </c>
      <c r="S10" s="26" t="n"/>
    </row>
    <row r="11" ht="15.6" customHeight="1">
      <c r="A11" s="409" t="inlineStr">
        <is>
          <t>Eagles Landing</t>
        </is>
      </c>
      <c r="B11" s="200">
        <f>'26 Oct - 1 Nov 2020'!D11</f>
        <v/>
      </c>
      <c r="C11" s="73" t="n">
        <v>308365.96</v>
      </c>
      <c r="D11" s="145" t="n">
        <v>268731.33</v>
      </c>
      <c r="E11" s="130" t="n">
        <v>300532.79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51</v>
      </c>
      <c r="K11" s="28">
        <f>IFERROR(J11/H11,0)</f>
        <v/>
      </c>
      <c r="L11" s="46">
        <f>J11+'26 Oct - 1 Nov 2020'!J11</f>
        <v/>
      </c>
      <c r="M11" s="172">
        <f>IFERROR(L11/SUM(H11),0)</f>
        <v/>
      </c>
      <c r="N11" s="247" t="n">
        <v>39435.82</v>
      </c>
      <c r="O11" s="89">
        <f>SUM(N11/D11)</f>
        <v/>
      </c>
      <c r="P11" s="247" t="n">
        <v>24450.43</v>
      </c>
      <c r="Q11" s="89">
        <f>SUM(P11/D11)</f>
        <v/>
      </c>
      <c r="R11" s="130" t="n">
        <v>14884.43</v>
      </c>
      <c r="S11" s="26" t="n"/>
    </row>
    <row r="12" ht="15.6" customHeight="1">
      <c r="A12" s="198" t="inlineStr">
        <is>
          <t>Stellenbosch</t>
        </is>
      </c>
      <c r="B12" s="200">
        <f>'26 Oct - 1 Nov 2020'!D12</f>
        <v/>
      </c>
      <c r="C12" s="73" t="n">
        <v>146753.75</v>
      </c>
      <c r="D12" s="145" t="n">
        <v>106610.16</v>
      </c>
      <c r="E12" s="130" t="n">
        <v>122431</v>
      </c>
      <c r="F12" s="163">
        <f>IFERROR((SUM(D12-C12)/C12),0)</f>
        <v/>
      </c>
      <c r="G12" s="155">
        <f>IFERROR((SUM(D12-B12)/B12),0)</f>
        <v/>
      </c>
      <c r="H12" s="150" t="n">
        <v>404</v>
      </c>
      <c r="I12" s="63">
        <f>IFERROR(D12/H12,0)</f>
        <v/>
      </c>
      <c r="J12" s="61" t="n">
        <v>15</v>
      </c>
      <c r="K12" s="28">
        <f>IFERROR(J12/H12,0)</f>
        <v/>
      </c>
      <c r="L12" s="46">
        <f>J12+'26 Oct - 1 Nov 2020'!J12</f>
        <v/>
      </c>
      <c r="M12" s="172">
        <f>IFERROR(L12/SUM(H12),0)</f>
        <v/>
      </c>
      <c r="N12" s="247" t="n">
        <v>14601.13</v>
      </c>
      <c r="O12" s="89">
        <f>SUM(N12/D12)</f>
        <v/>
      </c>
      <c r="P12" s="247" t="n">
        <v>6241.52</v>
      </c>
      <c r="Q12" s="89">
        <f>SUM(P12/D12)</f>
        <v/>
      </c>
      <c r="R12" s="130" t="n">
        <v>9993.25</v>
      </c>
      <c r="S12" s="26" t="n"/>
    </row>
    <row r="13" ht="15.6" customHeight="1">
      <c r="A13" s="198" t="inlineStr">
        <is>
          <t>Lynnwood</t>
        </is>
      </c>
      <c r="B13" s="200">
        <f>'26 Oct - 1 Nov 2020'!D13</f>
        <v/>
      </c>
      <c r="C13" s="73" t="n">
        <v>215493.07</v>
      </c>
      <c r="D13" s="145" t="n">
        <v>181854.77</v>
      </c>
      <c r="E13" s="130" t="n">
        <v>207874.04</v>
      </c>
      <c r="F13" s="163">
        <f>IFERROR((SUM(D13-C13)/C13),0)</f>
        <v/>
      </c>
      <c r="G13" s="155">
        <f>IFERROR((SUM(D13-B13)/B13),0)</f>
        <v/>
      </c>
      <c r="H13" s="150" t="n">
        <v>722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J13+'26 Oct - 1 Nov 2020'!J13</f>
        <v/>
      </c>
      <c r="M13" s="172">
        <f>IFERROR(L13/SUM(H13),0)</f>
        <v/>
      </c>
      <c r="N13" s="247" t="n">
        <v>21655.65</v>
      </c>
      <c r="O13" s="89">
        <f>SUM(N13/D13)</f>
        <v/>
      </c>
      <c r="P13" s="247" t="n">
        <v>22450.35</v>
      </c>
      <c r="Q13" s="89">
        <f>SUM(P13/D13)</f>
        <v/>
      </c>
      <c r="R13" s="130" t="n">
        <v>8225.5</v>
      </c>
      <c r="S13" s="26" t="n"/>
    </row>
    <row r="14" hidden="1" ht="15.6" customHeight="1">
      <c r="A14" s="198" t="inlineStr">
        <is>
          <t>Wellington</t>
        </is>
      </c>
      <c r="B14" s="200">
        <f>'26 Oct - 1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J14+'26 Oct - 1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Oct - 1 Nov 2020'!D15</f>
        <v/>
      </c>
      <c r="C15" s="73" t="n">
        <v>165767.19</v>
      </c>
      <c r="D15" s="145" t="n">
        <v>165659.22</v>
      </c>
      <c r="E15" s="130" t="n">
        <v>196036.14</v>
      </c>
      <c r="F15" s="163">
        <f>IFERROR((SUM(D15-C15)/C15),0)</f>
        <v/>
      </c>
      <c r="G15" s="155">
        <f>IFERROR((SUM(D15-B15)/B15),0)</f>
        <v/>
      </c>
      <c r="H15" s="150" t="n">
        <v>581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J15+'26 Oct - 1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16527.83</v>
      </c>
      <c r="Q15" s="89">
        <f>SUM(P15/D15)</f>
        <v/>
      </c>
      <c r="R15" s="130" t="n">
        <v>3053</v>
      </c>
      <c r="S15" s="9" t="n"/>
    </row>
    <row r="16" ht="15.6" customHeight="1">
      <c r="A16" s="198" t="inlineStr">
        <is>
          <t>Kyalami Corner</t>
        </is>
      </c>
      <c r="B16" s="200">
        <f>'26 Oct - 1 Nov 2020'!D16</f>
        <v/>
      </c>
      <c r="C16" s="73" t="n">
        <v>122700.03</v>
      </c>
      <c r="D16" s="145" t="n">
        <v>117037.13</v>
      </c>
      <c r="E16" s="130" t="n">
        <v>133398.3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24</v>
      </c>
      <c r="K16" s="28">
        <f>IFERROR(J16/H16,0)</f>
        <v/>
      </c>
      <c r="L16" s="46">
        <f>J16+'26 Oct - 1 Nov 2020'!J16</f>
        <v/>
      </c>
      <c r="M16" s="172">
        <f>IFERROR(L16/SUM(H16),0)</f>
        <v/>
      </c>
      <c r="N16" s="247" t="n">
        <v>14522.43</v>
      </c>
      <c r="O16" s="89">
        <f>SUM(N16/D16)</f>
        <v/>
      </c>
      <c r="P16" s="247" t="n">
        <v>13337.91</v>
      </c>
      <c r="Q16" s="89">
        <f>SUM(P16/D16)</f>
        <v/>
      </c>
      <c r="R16" s="130" t="n">
        <v>4107.5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Oct - 1 Nov 2020'!D17</f>
        <v/>
      </c>
      <c r="C17" s="73" t="n">
        <v>201597.1</v>
      </c>
      <c r="D17" s="145" t="n">
        <v>175289.7</v>
      </c>
      <c r="E17" s="130" t="n">
        <v>198180.7</v>
      </c>
      <c r="F17" s="163">
        <f>IFERROR((SUM(D17-C17)/C17),0)</f>
        <v/>
      </c>
      <c r="G17" s="155">
        <f>IFERROR((SUM(D17-B17)/B17),0)</f>
        <v/>
      </c>
      <c r="H17" s="150" t="n">
        <v>648</v>
      </c>
      <c r="I17" s="63">
        <f>IFERROR(D17/H17,0)</f>
        <v/>
      </c>
      <c r="J17" s="61" t="n">
        <v>41</v>
      </c>
      <c r="K17" s="28">
        <f>IFERROR(J17/H17,0)</f>
        <v/>
      </c>
      <c r="L17" s="46">
        <f>J17+'26 Oct - 1 Nov 2020'!J17</f>
        <v/>
      </c>
      <c r="M17" s="172">
        <f>IFERROR(L17/SUM(H17),0)</f>
        <v/>
      </c>
      <c r="N17" s="247" t="n">
        <v>35946.4</v>
      </c>
      <c r="O17" s="89">
        <f>SUM(N17/D17)</f>
        <v/>
      </c>
      <c r="P17" s="247" t="n">
        <v>10728.57</v>
      </c>
      <c r="Q17" s="89">
        <f>SUM(P17/D17)</f>
        <v/>
      </c>
      <c r="R17" s="130" t="n">
        <v>1553</v>
      </c>
      <c r="S17" s="9" t="n"/>
    </row>
    <row r="18" ht="15.6" customHeight="1">
      <c r="A18" s="198" t="inlineStr">
        <is>
          <t>Queenswood</t>
        </is>
      </c>
      <c r="B18" s="200">
        <f>'26 Oct - 1 Nov 2020'!D18</f>
        <v/>
      </c>
      <c r="C18" s="73" t="n">
        <v>164475.3</v>
      </c>
      <c r="D18" s="145" t="n">
        <v>139604.47</v>
      </c>
      <c r="E18" s="130" t="n">
        <v>162171.74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63">
        <f>IFERROR(D18/H18,0)</f>
        <v/>
      </c>
      <c r="J18" s="61" t="n">
        <v>47</v>
      </c>
      <c r="K18" s="28">
        <f>IFERROR(J18/H18,0)</f>
        <v/>
      </c>
      <c r="L18" s="46">
        <f>J18+'26 Oct - 1 Nov 2020'!J18</f>
        <v/>
      </c>
      <c r="M18" s="172">
        <f>IFERROR(L18/SUM(H18),0)</f>
        <v/>
      </c>
      <c r="N18" s="247" t="n">
        <v>13154.08</v>
      </c>
      <c r="O18" s="89">
        <f>SUM(N18/D18)</f>
        <v/>
      </c>
      <c r="P18" s="247" t="n">
        <v>10131.78</v>
      </c>
      <c r="Q18" s="89">
        <f>SUM(P18/D18)</f>
        <v/>
      </c>
      <c r="R18" s="130" t="n">
        <v>3961.06</v>
      </c>
      <c r="S18" s="9" t="n"/>
    </row>
    <row r="19" ht="16.2" customHeight="1" thickBot="1">
      <c r="A19" s="203" t="inlineStr">
        <is>
          <t>Centurion</t>
        </is>
      </c>
      <c r="B19" s="201">
        <f>'26 Oct - 1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46">
        <f>J19+'26 Oct - 1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'2 - 8 Nov 2020'!D6</f>
        <v/>
      </c>
      <c r="C6" s="123" t="n">
        <v>259568.58</v>
      </c>
      <c r="D6" s="197" t="n">
        <v>172666.79</v>
      </c>
      <c r="E6" s="254" t="n">
        <v>397275.73</v>
      </c>
      <c r="F6" s="162">
        <f>IFERROR((SUM(D6-C6)/C6),0)</f>
        <v/>
      </c>
      <c r="G6" s="154">
        <f>IFERROR((SUM(D6-B6)/B6),0)</f>
        <v/>
      </c>
      <c r="H6" s="149" t="n">
        <v>586</v>
      </c>
      <c r="I6" s="124">
        <f>IFERROR(D6/H6,0)</f>
        <v/>
      </c>
      <c r="J6" s="125" t="n">
        <v>38</v>
      </c>
      <c r="K6" s="126">
        <f>IFERROR(J6/H6,0)</f>
        <v/>
      </c>
      <c r="L6" s="46">
        <f>J6+'2 - 8 Nov 2020'!J6</f>
        <v/>
      </c>
      <c r="M6" s="171">
        <f>IFERROR(L6/SUM(H6),0)</f>
        <v/>
      </c>
      <c r="N6" s="246" t="n">
        <v>28098.39</v>
      </c>
      <c r="O6" s="128">
        <f>SUM(N6/D6)</f>
        <v/>
      </c>
      <c r="P6" s="247" t="n">
        <v>120</v>
      </c>
      <c r="Q6" s="128">
        <f>SUM(P6/D6)</f>
        <v/>
      </c>
      <c r="R6" s="129" t="n">
        <v>8280.5</v>
      </c>
      <c r="S6" s="26" t="n"/>
    </row>
    <row r="7" ht="15.6" customHeight="1">
      <c r="A7" s="409" t="inlineStr">
        <is>
          <t>Melrose Arch</t>
        </is>
      </c>
      <c r="B7" s="200">
        <f>'2 - 8 Nov 2020'!D7</f>
        <v/>
      </c>
      <c r="C7" s="73" t="n">
        <v>209028.31</v>
      </c>
      <c r="D7" s="145" t="n">
        <v>183294.98</v>
      </c>
      <c r="E7" s="130" t="n">
        <v>357518.87</v>
      </c>
      <c r="F7" s="163">
        <f>IFERROR((SUM(D7-C7)/C7),0)</f>
        <v/>
      </c>
      <c r="G7" s="155">
        <f>IFERROR((SUM(D7-B7)/B7),0)</f>
        <v/>
      </c>
      <c r="H7" s="150" t="n">
        <v>678</v>
      </c>
      <c r="I7" s="63">
        <f>IFERROR(D7/H7,0)</f>
        <v/>
      </c>
      <c r="J7" s="61" t="n">
        <v>37</v>
      </c>
      <c r="K7" s="28">
        <f>IFERROR(J7/H7,0)</f>
        <v/>
      </c>
      <c r="L7" s="46">
        <f>J7+'2 - 8 Nov 2020'!J7</f>
        <v/>
      </c>
      <c r="M7" s="172">
        <f>IFERROR(L7/SUM(H7),0)</f>
        <v/>
      </c>
      <c r="N7" s="247" t="n">
        <v>22109</v>
      </c>
      <c r="O7" s="89">
        <f>SUM(N7/D7)</f>
        <v/>
      </c>
      <c r="P7" s="247" t="n">
        <v>12020</v>
      </c>
      <c r="Q7" s="89">
        <f>SUM(P7/D7)</f>
        <v/>
      </c>
      <c r="R7" s="130" t="n">
        <v>11384.6</v>
      </c>
      <c r="S7" s="26" t="n"/>
    </row>
    <row r="8" ht="15.6" customHeight="1">
      <c r="A8" s="409" t="inlineStr">
        <is>
          <t>Melville</t>
        </is>
      </c>
      <c r="B8" s="200">
        <f>'2 - 8 Nov 2020'!D8</f>
        <v/>
      </c>
      <c r="C8" s="73" t="n">
        <v>101423.55</v>
      </c>
      <c r="D8" s="145" t="n">
        <v>87639.38</v>
      </c>
      <c r="E8" s="130" t="n">
        <v>201956.26</v>
      </c>
      <c r="F8" s="163">
        <f>IFERROR((SUM(D8-C8)/C8),0)</f>
        <v/>
      </c>
      <c r="G8" s="155">
        <f>IFERROR((SUM(D8-B8)/B8),0)</f>
        <v/>
      </c>
      <c r="H8" s="150" t="n">
        <v>378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</f>
        <v/>
      </c>
      <c r="M8" s="172">
        <f>IFERROR(L8/SUM(H8),0)</f>
        <v/>
      </c>
      <c r="N8" s="247" t="n">
        <v>23000.57</v>
      </c>
      <c r="O8" s="89">
        <f>SUM(N8/D8)</f>
        <v/>
      </c>
      <c r="P8" s="247" t="n">
        <v>13246.09</v>
      </c>
      <c r="Q8" s="89">
        <f>SUM(P8/D8)</f>
        <v/>
      </c>
      <c r="R8" s="130" t="n">
        <v>3039.5</v>
      </c>
      <c r="S8" s="26" t="n"/>
    </row>
    <row r="9" ht="15.6" customHeight="1">
      <c r="A9" s="409" t="inlineStr">
        <is>
          <t>Rosebank</t>
        </is>
      </c>
      <c r="B9" s="200">
        <f>'2 - 8 Nov 2020'!D9</f>
        <v/>
      </c>
      <c r="C9" s="73" t="n">
        <v>300109.68</v>
      </c>
      <c r="D9" s="145" t="n">
        <v>192269.09</v>
      </c>
      <c r="E9" s="130" t="n">
        <v>451639.04</v>
      </c>
      <c r="F9" s="163">
        <f>IFERROR((SUM(D9-C9)/C9),0)</f>
        <v/>
      </c>
      <c r="G9" s="155">
        <f>IFERROR((SUM(D9-B9)/B9),0)</f>
        <v/>
      </c>
      <c r="H9" s="150" t="n">
        <v>771</v>
      </c>
      <c r="I9" s="63">
        <f>IFERROR(D9/H9,0)</f>
        <v/>
      </c>
      <c r="J9" s="61" t="n">
        <v>54</v>
      </c>
      <c r="K9" s="28">
        <f>IFERROR(J9/H9,0)</f>
        <v/>
      </c>
      <c r="L9" s="46">
        <f>J9+'2 - 8 Nov 2020'!J9</f>
        <v/>
      </c>
      <c r="M9" s="172">
        <f>IFERROR(L9/SUM(H9),0)</f>
        <v/>
      </c>
      <c r="N9" s="247" t="n">
        <v>13931.7</v>
      </c>
      <c r="O9" s="89">
        <f>SUM(N9/D9)</f>
        <v/>
      </c>
      <c r="P9" s="247" t="n">
        <v>11704.05</v>
      </c>
      <c r="Q9" s="89">
        <f>SUM(P9/D9)</f>
        <v/>
      </c>
      <c r="R9" s="130" t="n">
        <v>4717.5</v>
      </c>
      <c r="S9" s="26" t="n"/>
    </row>
    <row r="10" ht="15.6" customHeight="1">
      <c r="A10" s="411" t="inlineStr">
        <is>
          <t xml:space="preserve">Waterkloof </t>
        </is>
      </c>
      <c r="B10" s="200">
        <f>'2 - 8 Nov 2020'!D10</f>
        <v/>
      </c>
      <c r="C10" s="73" t="n">
        <v>137768.23</v>
      </c>
      <c r="D10" s="145" t="n">
        <v>127707.36</v>
      </c>
      <c r="E10" s="130" t="n">
        <v>265986.63</v>
      </c>
      <c r="F10" s="163">
        <f>IFERROR((SUM(D10-C10)/C10),0)</f>
        <v/>
      </c>
      <c r="G10" s="155">
        <f>IFERROR((SUM(D10-B10)/B10),0)</f>
        <v/>
      </c>
      <c r="H10" s="150" t="n">
        <v>473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</f>
        <v/>
      </c>
      <c r="M10" s="172">
        <f>IFERROR(L10/SUM(H10),0)</f>
        <v/>
      </c>
      <c r="N10" s="247" t="n">
        <v>29548.47</v>
      </c>
      <c r="O10" s="89">
        <f>SUM(N10/D10)</f>
        <v/>
      </c>
      <c r="P10" s="247" t="n">
        <v>23826.52</v>
      </c>
      <c r="Q10" s="89">
        <f>SUM(P10/D10)</f>
        <v/>
      </c>
      <c r="R10" s="130" t="n">
        <v>4705.55</v>
      </c>
      <c r="S10" s="26" t="n"/>
    </row>
    <row r="11" ht="15.6" customHeight="1">
      <c r="A11" s="409" t="inlineStr">
        <is>
          <t>Eagles Landing</t>
        </is>
      </c>
      <c r="B11" s="200">
        <f>'2 - 8 Nov 2020'!D11</f>
        <v/>
      </c>
      <c r="C11" s="73" t="n">
        <v>311032.46</v>
      </c>
      <c r="D11" s="145" t="n">
        <v>247480.1</v>
      </c>
      <c r="E11" s="130" t="n">
        <v>548012.89</v>
      </c>
      <c r="F11" s="163">
        <f>IFERROR((SUM(D11-C11)/C11),0)</f>
        <v/>
      </c>
      <c r="G11" s="155">
        <f>IFERROR((SUM(D11-B11)/B11),0)</f>
        <v/>
      </c>
      <c r="H11" s="150" t="n">
        <v>946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</f>
        <v/>
      </c>
      <c r="M11" s="172">
        <f>IFERROR(L11/SUM(H11),0)</f>
        <v/>
      </c>
      <c r="N11" s="247" t="n">
        <v>37701.61</v>
      </c>
      <c r="O11" s="89">
        <f>SUM(N11/D11)</f>
        <v/>
      </c>
      <c r="P11" s="247" t="n">
        <v>21344</v>
      </c>
      <c r="Q11" s="89">
        <f>SUM(P11/D11)</f>
        <v/>
      </c>
      <c r="R11" s="130" t="n">
        <v>12435.1</v>
      </c>
      <c r="S11" s="26" t="n"/>
    </row>
    <row r="12" ht="15.6" customHeight="1">
      <c r="A12" s="198" t="inlineStr">
        <is>
          <t>Stellenbosch</t>
        </is>
      </c>
      <c r="B12" s="200">
        <f>'2 - 8 Nov 2020'!D12</f>
        <v/>
      </c>
      <c r="C12" s="73" t="n">
        <v>143951.47</v>
      </c>
      <c r="D12" s="145" t="n">
        <v>104099.76</v>
      </c>
      <c r="E12" s="130" t="n">
        <v>226530.76</v>
      </c>
      <c r="F12" s="163">
        <f>IFERROR((SUM(D12-C12)/C12),0)</f>
        <v/>
      </c>
      <c r="G12" s="155">
        <f>IFERROR((SUM(D12-B12)/B12),0)</f>
        <v/>
      </c>
      <c r="H12" s="150" t="n">
        <v>391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</f>
        <v/>
      </c>
      <c r="M12" s="172">
        <f>IFERROR(L12/SUM(H12),0)</f>
        <v/>
      </c>
      <c r="N12" s="247" t="n">
        <v>13513.91</v>
      </c>
      <c r="O12" s="89">
        <f>SUM(N12/D12)</f>
        <v/>
      </c>
      <c r="P12" s="247" t="n">
        <v>8703.74</v>
      </c>
      <c r="Q12" s="89">
        <f>SUM(P12/D12)</f>
        <v/>
      </c>
      <c r="R12" s="130" t="n">
        <v>8044.8</v>
      </c>
      <c r="S12" s="26" t="n"/>
    </row>
    <row r="13" ht="15.6" customHeight="1">
      <c r="A13" s="198" t="inlineStr">
        <is>
          <t>Lynnwood</t>
        </is>
      </c>
      <c r="B13" s="200">
        <f>'2 - 8 Nov 2020'!D13</f>
        <v/>
      </c>
      <c r="C13" s="73" t="n">
        <v>202568.82</v>
      </c>
      <c r="D13" s="145" t="n">
        <v>171163.5</v>
      </c>
      <c r="E13" s="130" t="n">
        <v>379037.54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36</v>
      </c>
      <c r="K13" s="28">
        <f>IFERROR(J13/H13,0)</f>
        <v/>
      </c>
      <c r="L13" s="46">
        <f>J13+'2 - 8 Nov 2020'!J13</f>
        <v/>
      </c>
      <c r="M13" s="172">
        <f>IFERROR(L13/SUM(H13),0)</f>
        <v/>
      </c>
      <c r="N13" s="247" t="n">
        <v>23984.3</v>
      </c>
      <c r="O13" s="89">
        <f>SUM(N13/D13)</f>
        <v/>
      </c>
      <c r="P13" s="247" t="n">
        <v>24608.22</v>
      </c>
      <c r="Q13" s="89">
        <f>SUM(P13/D13)</f>
        <v/>
      </c>
      <c r="R13" s="130" t="n">
        <v>6728</v>
      </c>
      <c r="S13" s="26" t="n"/>
    </row>
    <row r="14" hidden="1" ht="15.6" customHeight="1">
      <c r="A14" s="198" t="inlineStr">
        <is>
          <t>Wellington</t>
        </is>
      </c>
      <c r="B14" s="200">
        <f>'2 - 8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'2 - 8 Nov 2020'!D15</f>
        <v/>
      </c>
      <c r="C15" s="73" t="n">
        <v>187730.76</v>
      </c>
      <c r="D15" s="145" t="n">
        <v>159466.45</v>
      </c>
      <c r="E15" s="130" t="n">
        <v>355502.59</v>
      </c>
      <c r="F15" s="163">
        <f>IFERROR((SUM(D15-C15)/C15),0)</f>
        <v/>
      </c>
      <c r="G15" s="155">
        <f>IFERROR((SUM(D15-B15)/B15),0)</f>
        <v/>
      </c>
      <c r="H15" s="150" t="n">
        <v>550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16288.78</v>
      </c>
      <c r="Q15" s="89">
        <f>SUM(P15/D15)</f>
        <v/>
      </c>
      <c r="R15" s="130" t="n">
        <v>3688.3</v>
      </c>
      <c r="S15" s="9" t="n"/>
    </row>
    <row r="16" ht="15.6" customHeight="1">
      <c r="A16" s="198" t="inlineStr">
        <is>
          <t>Kyalami Corner</t>
        </is>
      </c>
      <c r="B16" s="200">
        <f>'2 - 8 Nov 2020'!D16</f>
        <v/>
      </c>
      <c r="C16" s="73" t="n">
        <v>117265.6</v>
      </c>
      <c r="D16" s="145" t="n">
        <v>98894.32000000001</v>
      </c>
      <c r="E16" s="130" t="n">
        <v>232292.62</v>
      </c>
      <c r="F16" s="163">
        <f>IFERROR((SUM(D16-C16)/C16),0)</f>
        <v/>
      </c>
      <c r="G16" s="155">
        <f>IFERROR((SUM(D16-B16)/B16),0)</f>
        <v/>
      </c>
      <c r="H16" s="150" t="n">
        <v>366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J16+'2 - 8 Nov 2020'!J16</f>
        <v/>
      </c>
      <c r="M16" s="172">
        <f>IFERROR(L16/SUM(H16),0)</f>
        <v/>
      </c>
      <c r="N16" s="247" t="n">
        <v>17868.4</v>
      </c>
      <c r="O16" s="89">
        <f>SUM(N16/D16)</f>
        <v/>
      </c>
      <c r="P16" s="247" t="n">
        <v>15881.48</v>
      </c>
      <c r="Q16" s="89">
        <f>SUM(P16/D16)</f>
        <v/>
      </c>
      <c r="R16" s="130" t="n">
        <v>5109.3</v>
      </c>
      <c r="S16" s="9" t="n"/>
      <c r="V16" s="238" t="n"/>
    </row>
    <row r="17" ht="15.6" customHeight="1">
      <c r="A17" s="251" t="inlineStr">
        <is>
          <t>Paulshof</t>
        </is>
      </c>
      <c r="B17" s="200">
        <f>'2 - 8 Nov 2020'!D17</f>
        <v/>
      </c>
      <c r="C17" s="73" t="n">
        <v>210361.95</v>
      </c>
      <c r="D17" s="145" t="n">
        <v>162874.76</v>
      </c>
      <c r="E17" s="130" t="n">
        <v>361055.46</v>
      </c>
      <c r="F17" s="163">
        <f>IFERROR((SUM(D17-C17)/C17),0)</f>
        <v/>
      </c>
      <c r="G17" s="155">
        <f>IFERROR((SUM(D17-B17)/B17),0)</f>
        <v/>
      </c>
      <c r="H17" s="150" t="n">
        <v>623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</f>
        <v/>
      </c>
      <c r="M17" s="172">
        <f>IFERROR(L17/SUM(H17),0)</f>
        <v/>
      </c>
      <c r="N17" s="247" t="n">
        <v>38123.09</v>
      </c>
      <c r="O17" s="89">
        <f>SUM(N17/D17)</f>
        <v/>
      </c>
      <c r="P17" s="247" t="n">
        <v>12306.55</v>
      </c>
      <c r="Q17" s="89">
        <f>SUM(P17/D17)</f>
        <v/>
      </c>
      <c r="R17" s="130" t="n">
        <v>3535.75</v>
      </c>
      <c r="S17" s="9" t="n"/>
    </row>
    <row r="18" ht="15.6" customHeight="1">
      <c r="A18" s="198" t="inlineStr">
        <is>
          <t>Queenswood</t>
        </is>
      </c>
      <c r="B18" s="200">
        <f>'2 - 8 Nov 2020'!D18</f>
        <v/>
      </c>
      <c r="C18" s="73" t="n">
        <v>165084.29</v>
      </c>
      <c r="D18" s="145" t="n">
        <v>136607.85</v>
      </c>
      <c r="E18" s="130" t="n">
        <v>298779.59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63">
        <f>IFERROR(D18/H18,0)</f>
        <v/>
      </c>
      <c r="J18" s="61" t="n">
        <v>44</v>
      </c>
      <c r="K18" s="28">
        <f>IFERROR(J18/H18,0)</f>
        <v/>
      </c>
      <c r="L18" s="46">
        <f>J18+'2 - 8 Nov 2020'!J18</f>
        <v/>
      </c>
      <c r="M18" s="172">
        <f>IFERROR(L18/SUM(H18),0)</f>
        <v/>
      </c>
      <c r="N18" s="247" t="n">
        <v>20745.13</v>
      </c>
      <c r="O18" s="89">
        <f>SUM(N18/D18)</f>
        <v/>
      </c>
      <c r="P18" s="247" t="n">
        <v>11931.61</v>
      </c>
      <c r="Q18" s="89">
        <f>SUM(P18/D18)</f>
        <v/>
      </c>
      <c r="R18" s="130" t="n">
        <v>5074.5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123" t="n">
        <v>249420.07</v>
      </c>
      <c r="D6" s="197" t="n">
        <v>161283.62</v>
      </c>
      <c r="E6" s="254" t="n">
        <v>558559.35</v>
      </c>
      <c r="F6" s="162">
        <f>IFERROR((SUM(D6-C6)/C6),0)</f>
        <v/>
      </c>
      <c r="G6" s="154">
        <f>IFERROR((SUM(D6-B6)/B6),0)</f>
        <v/>
      </c>
      <c r="H6" s="149" t="n">
        <v>539</v>
      </c>
      <c r="I6" s="124">
        <f>IFERROR(D6/H6,0)</f>
        <v/>
      </c>
      <c r="J6" s="125" t="n">
        <v>50</v>
      </c>
      <c r="K6" s="126">
        <f>IFERROR(J6/H6,0)</f>
        <v/>
      </c>
      <c r="L6" s="46">
        <f>J6+'2 - 8 Nov 2020'!J6+'9 - 15 Nov 2020'!J6</f>
        <v/>
      </c>
      <c r="M6" s="171">
        <f>IFERROR(L6/SUM(H6),0)</f>
        <v/>
      </c>
      <c r="N6" s="246" t="n">
        <v>27561.3</v>
      </c>
      <c r="O6" s="128">
        <f>SUM(N6/D6)</f>
        <v/>
      </c>
      <c r="P6" s="247" t="n">
        <v>1165.04</v>
      </c>
      <c r="Q6" s="128">
        <f>SUM(P6/D6)</f>
        <v/>
      </c>
      <c r="R6" s="129" t="n">
        <v>5831.5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277083.59</v>
      </c>
      <c r="D7" s="145" t="n">
        <v>178938.56</v>
      </c>
      <c r="E7" s="130" t="n">
        <v>536457.4300000001</v>
      </c>
      <c r="F7" s="163">
        <f>IFERROR((SUM(D7-C7)/C7),0)</f>
        <v/>
      </c>
      <c r="G7" s="155">
        <f>IFERROR((SUM(D7-B7)/B7),0)</f>
        <v/>
      </c>
      <c r="H7" s="150" t="n">
        <v>646</v>
      </c>
      <c r="I7" s="63">
        <f>IFERROR(D7/H7,0)</f>
        <v/>
      </c>
      <c r="J7" s="61" t="n">
        <v>71</v>
      </c>
      <c r="K7" s="28">
        <f>IFERROR(J7/H7,0)</f>
        <v/>
      </c>
      <c r="L7" s="46">
        <f>J7+'2 - 8 Nov 2020'!J7+'9 - 15 Nov 2020'!J7</f>
        <v/>
      </c>
      <c r="M7" s="172">
        <f>IFERROR(L7/SUM(H7),0)</f>
        <v/>
      </c>
      <c r="N7" s="247" t="n">
        <v>20565.87</v>
      </c>
      <c r="O7" s="89">
        <f>SUM(N7/D7)</f>
        <v/>
      </c>
      <c r="P7" s="247" t="n">
        <v>13307.74</v>
      </c>
      <c r="Q7" s="89">
        <f>SUM(P7/D7)</f>
        <v/>
      </c>
      <c r="R7" s="130" t="n">
        <v>12070.7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126423.17</v>
      </c>
      <c r="D8" s="145" t="n">
        <v>102953.87</v>
      </c>
      <c r="E8" s="130" t="n">
        <v>304910.13</v>
      </c>
      <c r="F8" s="163">
        <f>IFERROR((SUM(D8-C8)/C8),0)</f>
        <v/>
      </c>
      <c r="G8" s="155">
        <f>IFERROR((SUM(D8-B8)/B8),0)</f>
        <v/>
      </c>
      <c r="H8" s="150" t="n">
        <v>387</v>
      </c>
      <c r="I8" s="63">
        <f>IFERROR(D8/H8,0)</f>
        <v/>
      </c>
      <c r="J8" s="61" t="n">
        <v>41</v>
      </c>
      <c r="K8" s="28">
        <f>IFERROR(J8/H8,0)</f>
        <v/>
      </c>
      <c r="L8" s="46">
        <f>J8+'2 - 8 Nov 2020'!J8+'9 - 15 Nov 2020'!J8</f>
        <v/>
      </c>
      <c r="M8" s="172">
        <f>IFERROR(L8/SUM(H8),0)</f>
        <v/>
      </c>
      <c r="N8" s="247" t="n">
        <v>26127.17</v>
      </c>
      <c r="O8" s="89">
        <f>SUM(N8/D8)</f>
        <v/>
      </c>
      <c r="P8" s="247" t="n">
        <v>15938.83</v>
      </c>
      <c r="Q8" s="89">
        <f>SUM(P8/D8)</f>
        <v/>
      </c>
      <c r="R8" s="130" t="n">
        <v>3239.1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334792.28</v>
      </c>
      <c r="D9" s="145" t="n">
        <v>211104.3</v>
      </c>
      <c r="E9" s="130" t="n">
        <v>662743.34</v>
      </c>
      <c r="F9" s="163">
        <f>IFERROR((SUM(D9-C9)/C9),0)</f>
        <v/>
      </c>
      <c r="G9" s="155">
        <f>IFERROR((SUM(D9-B9)/B9),0)</f>
        <v/>
      </c>
      <c r="H9" s="150" t="n">
        <v>794</v>
      </c>
      <c r="I9" s="63">
        <f>IFERROR(D9/H9,0)</f>
        <v/>
      </c>
      <c r="J9" s="61" t="n">
        <v>73</v>
      </c>
      <c r="K9" s="28">
        <f>IFERROR(J9/H9,0)</f>
        <v/>
      </c>
      <c r="L9" s="46">
        <f>J9+'2 - 8 Nov 2020'!J9+'9 - 15 Nov 2020'!J9</f>
        <v/>
      </c>
      <c r="M9" s="172">
        <f>IFERROR(L9/SUM(H9),0)</f>
        <v/>
      </c>
      <c r="N9" s="247" t="n">
        <v>15316.45</v>
      </c>
      <c r="O9" s="89">
        <f>SUM(N9/D9)</f>
        <v/>
      </c>
      <c r="P9" s="247" t="n">
        <v>12149.13</v>
      </c>
      <c r="Q9" s="89">
        <f>SUM(P9/D9)</f>
        <v/>
      </c>
      <c r="R9" s="130" t="n">
        <v>7306.9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151772.77</v>
      </c>
      <c r="D10" s="145" t="n">
        <v>132187.5</v>
      </c>
      <c r="E10" s="130" t="n">
        <v>398174.13</v>
      </c>
      <c r="F10" s="163">
        <f>IFERROR((SUM(D10-C10)/C10),0)</f>
        <v/>
      </c>
      <c r="G10" s="155">
        <f>IFERROR((SUM(D10-B10)/B10),0)</f>
        <v/>
      </c>
      <c r="H10" s="150" t="n">
        <v>500</v>
      </c>
      <c r="I10" s="63">
        <f>IFERROR(D10/H10,0)</f>
        <v/>
      </c>
      <c r="J10" s="61" t="n">
        <v>46</v>
      </c>
      <c r="K10" s="28">
        <f>IFERROR(J10/H10,0)</f>
        <v/>
      </c>
      <c r="L10" s="46">
        <f>J10+'2 - 8 Nov 2020'!J10+'9 - 15 Nov 2020'!J10</f>
        <v/>
      </c>
      <c r="M10" s="172">
        <f>IFERROR(L10/SUM(H10),0)</f>
        <v/>
      </c>
      <c r="N10" s="247" t="n">
        <v>27286.36</v>
      </c>
      <c r="O10" s="89">
        <f>SUM(N10/D10)</f>
        <v/>
      </c>
      <c r="P10" s="247" t="n">
        <v>33506.48</v>
      </c>
      <c r="Q10" s="89">
        <f>SUM(P10/D10)</f>
        <v/>
      </c>
      <c r="R10" s="130" t="n">
        <v>6026.55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372731.86</v>
      </c>
      <c r="D11" s="145" t="n">
        <v>240795.45</v>
      </c>
      <c r="E11" s="130" t="n">
        <v>788808.35</v>
      </c>
      <c r="F11" s="163">
        <f>IFERROR((SUM(D11-C11)/C11),0)</f>
        <v/>
      </c>
      <c r="G11" s="155">
        <f>IFERROR((SUM(D11-B11)/B11),0)</f>
        <v/>
      </c>
      <c r="H11" s="150" t="n">
        <v>914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</f>
        <v/>
      </c>
      <c r="M11" s="172">
        <f>IFERROR(L11/SUM(H11),0)</f>
        <v/>
      </c>
      <c r="N11" s="247" t="n">
        <v>40726.03</v>
      </c>
      <c r="O11" s="89">
        <f>SUM(N11/D11)</f>
        <v/>
      </c>
      <c r="P11" s="247" t="n">
        <v>19942.69</v>
      </c>
      <c r="Q11" s="89">
        <f>SUM(P11/D11)</f>
        <v/>
      </c>
      <c r="R11" s="130" t="n">
        <v>15985.9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143504.96</v>
      </c>
      <c r="D12" s="145" t="n">
        <v>91468.42999999999</v>
      </c>
      <c r="E12" s="130" t="n">
        <v>317999.19</v>
      </c>
      <c r="F12" s="163">
        <f>IFERROR((SUM(D12-C12)/C12),0)</f>
        <v/>
      </c>
      <c r="G12" s="155">
        <f>IFERROR((SUM(D12-B12)/B12),0)</f>
        <v/>
      </c>
      <c r="H12" s="150" t="n">
        <v>384</v>
      </c>
      <c r="I12" s="63">
        <f>IFERROR(D12/H12,0)</f>
        <v/>
      </c>
      <c r="J12" s="61" t="n">
        <v>14</v>
      </c>
      <c r="K12" s="28">
        <f>IFERROR(J12/H12,0)</f>
        <v/>
      </c>
      <c r="L12" s="46">
        <f>J12+'2 - 8 Nov 2020'!J12+'9 - 15 Nov 2020'!J12</f>
        <v/>
      </c>
      <c r="M12" s="172">
        <f>IFERROR(L12/SUM(H12),0)</f>
        <v/>
      </c>
      <c r="N12" s="247" t="n">
        <v>12078.3</v>
      </c>
      <c r="O12" s="89">
        <f>SUM(N12/D12)</f>
        <v/>
      </c>
      <c r="P12" s="247" t="n">
        <v>4225.43</v>
      </c>
      <c r="Q12" s="89">
        <f>SUM(P12/D12)</f>
        <v/>
      </c>
      <c r="R12" s="130" t="n">
        <v>8526.5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218108.55</v>
      </c>
      <c r="D13" s="145" t="n">
        <v>166631.94</v>
      </c>
      <c r="E13" s="130" t="n">
        <v>545669.48</v>
      </c>
      <c r="F13" s="163">
        <f>IFERROR((SUM(D13-C13)/C13),0)</f>
        <v/>
      </c>
      <c r="G13" s="155">
        <f>IFERROR((SUM(D13-B13)/B13),0)</f>
        <v/>
      </c>
      <c r="H13" s="150" t="n">
        <v>652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J13+'2 - 8 Nov 2020'!J13+'9 - 15 Nov 2020'!J13</f>
        <v/>
      </c>
      <c r="M13" s="172">
        <f>IFERROR(L13/SUM(H13),0)</f>
        <v/>
      </c>
      <c r="N13" s="247" t="n">
        <v>24668.45</v>
      </c>
      <c r="O13" s="89">
        <f>SUM(N13/D13)</f>
        <v/>
      </c>
      <c r="P13" s="247" t="n">
        <v>22758.13</v>
      </c>
      <c r="Q13" s="89">
        <f>SUM(P13/D13)</f>
        <v/>
      </c>
      <c r="R13" s="130" t="n">
        <v>6465.5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203493.11</v>
      </c>
      <c r="D15" s="145" t="n">
        <v>157494.72</v>
      </c>
      <c r="E15" s="130" t="n">
        <v>512997.31</v>
      </c>
      <c r="F15" s="163">
        <f>IFERROR((SUM(D15-C15)/C15),0)</f>
        <v/>
      </c>
      <c r="G15" s="155">
        <f>IFERROR((SUM(D15-B15)/B15),0)</f>
        <v/>
      </c>
      <c r="H15" s="150" t="n">
        <v>546</v>
      </c>
      <c r="I15" s="63">
        <f>IFERROR(D15/H15,0)</f>
        <v/>
      </c>
      <c r="J15" s="61" t="n">
        <v>0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15768.26</v>
      </c>
      <c r="Q15" s="89">
        <f>SUM(P15/D15)</f>
        <v/>
      </c>
      <c r="R15" s="130" t="n">
        <v>3262.5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130233.66</v>
      </c>
      <c r="D16" s="145" t="n">
        <v>96347.74000000001</v>
      </c>
      <c r="E16" s="130" t="n">
        <v>328640.36</v>
      </c>
      <c r="F16" s="163">
        <f>IFERROR((SUM(D16-C16)/C16),0)</f>
        <v/>
      </c>
      <c r="G16" s="155">
        <f>IFERROR((SUM(D16-B16)/B16),0)</f>
        <v/>
      </c>
      <c r="H16" s="150" t="n">
        <v>376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</f>
        <v/>
      </c>
      <c r="M16" s="172">
        <f>IFERROR(L16/SUM(H16),0)</f>
        <v/>
      </c>
      <c r="N16" s="247" t="n">
        <v>16826.47</v>
      </c>
      <c r="O16" s="89">
        <f>SUM(N16/D16)</f>
        <v/>
      </c>
      <c r="P16" s="247" t="n">
        <v>17197.04</v>
      </c>
      <c r="Q16" s="89">
        <f>SUM(P16/D16)</f>
        <v/>
      </c>
      <c r="R16" s="130" t="n">
        <v>6143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214348.71</v>
      </c>
      <c r="D17" s="145" t="n">
        <v>144792.58</v>
      </c>
      <c r="E17" s="130" t="n">
        <v>508848.04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</f>
        <v/>
      </c>
      <c r="M17" s="172">
        <f>IFERROR(L17/SUM(H17),0)</f>
        <v/>
      </c>
      <c r="N17" s="247" t="n">
        <v>29911.96</v>
      </c>
      <c r="O17" s="89">
        <f>SUM(N17/D17)</f>
        <v/>
      </c>
      <c r="P17" s="247" t="n">
        <v>15645.35</v>
      </c>
      <c r="Q17" s="89">
        <f>SUM(P17/D17)</f>
        <v/>
      </c>
      <c r="R17" s="130" t="n">
        <v>1241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167548.27</v>
      </c>
      <c r="D18" s="145" t="n">
        <v>127656.79</v>
      </c>
      <c r="E18" s="130" t="n">
        <v>426436.38</v>
      </c>
      <c r="F18" s="163">
        <f>IFERROR((SUM(D18-C18)/C18),0)</f>
        <v/>
      </c>
      <c r="G18" s="155">
        <f>IFERROR((SUM(D18-B18)/B18),0)</f>
        <v/>
      </c>
      <c r="H18" s="150" t="n">
        <v>514</v>
      </c>
      <c r="I18" s="63">
        <f>IFERROR(D18/H18,0)</f>
        <v/>
      </c>
      <c r="J18" s="61" t="n">
        <v>42</v>
      </c>
      <c r="K18" s="28">
        <f>IFERROR(J18/H18,0)</f>
        <v/>
      </c>
      <c r="L18" s="46">
        <f>J18+'2 - 8 Nov 2020'!J18+'9 - 15 Nov 2020'!J18</f>
        <v/>
      </c>
      <c r="M18" s="172">
        <f>IFERROR(L18/SUM(H18),0)</f>
        <v/>
      </c>
      <c r="N18" s="247" t="n">
        <v>19480.43</v>
      </c>
      <c r="O18" s="89">
        <f>SUM(N18/D18)</f>
        <v/>
      </c>
      <c r="P18" s="247" t="n">
        <v>12159.3</v>
      </c>
      <c r="Q18" s="89">
        <f>SUM(P18/D18)</f>
        <v/>
      </c>
      <c r="R18" s="130" t="n">
        <v>4329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'9 - 15 Nov 2020'!D6</f>
        <v/>
      </c>
      <c r="C6" s="255" t="n">
        <v>396557.98</v>
      </c>
      <c r="D6" s="197" t="n">
        <v>213583.61</v>
      </c>
      <c r="E6" s="254" t="n">
        <v>772142.96</v>
      </c>
      <c r="F6" s="162">
        <f>IFERROR((SUM(D6-C6)/C6),0)</f>
        <v/>
      </c>
      <c r="G6" s="154">
        <f>IFERROR((SUM(D6-B6)/B6),0)</f>
        <v/>
      </c>
      <c r="H6" s="149" t="n">
        <v>700</v>
      </c>
      <c r="I6" s="124">
        <f>IFERROR(D6/H6,0)</f>
        <v/>
      </c>
      <c r="J6" s="125" t="n">
        <v>54</v>
      </c>
      <c r="K6" s="126">
        <f>IFERROR(J6/H6,0)</f>
        <v/>
      </c>
      <c r="L6" s="46">
        <f>J6+'2 - 8 Nov 2020'!J6+'9 - 15 Nov 2020'!J6+'16 - 22 Nov 2020'!J6</f>
        <v/>
      </c>
      <c r="M6" s="171">
        <f>IFERROR(L6/SUM(H6),0)</f>
        <v/>
      </c>
      <c r="N6" s="246" t="n">
        <v>30976.87</v>
      </c>
      <c r="O6" s="128">
        <f>SUM(N6/D6)</f>
        <v/>
      </c>
      <c r="P6" s="247" t="n">
        <v>286</v>
      </c>
      <c r="Q6" s="128">
        <f>SUM(P6/D6)</f>
        <v/>
      </c>
      <c r="R6" s="129" t="n">
        <v>13274.5</v>
      </c>
      <c r="S6" s="26" t="n"/>
    </row>
    <row r="7" ht="15.6" customHeight="1">
      <c r="A7" s="409" t="inlineStr">
        <is>
          <t>Melrose Arch</t>
        </is>
      </c>
      <c r="B7" s="200">
        <f>'9 - 15 Nov 2020'!D7</f>
        <v/>
      </c>
      <c r="C7" s="73" t="n">
        <v>384641.91</v>
      </c>
      <c r="D7" s="145" t="n">
        <v>249670.73</v>
      </c>
      <c r="E7" s="130" t="n">
        <v>786128.16</v>
      </c>
      <c r="F7" s="163">
        <f>IFERROR((SUM(D7-C7)/C7),0)</f>
        <v/>
      </c>
      <c r="G7" s="155">
        <f>IFERROR((SUM(D7-B7)/B7),0)</f>
        <v/>
      </c>
      <c r="H7" s="150" t="n">
        <v>856</v>
      </c>
      <c r="I7" s="63">
        <f>IFERROR(D7/H7,0)</f>
        <v/>
      </c>
      <c r="J7" s="61" t="n">
        <v>77</v>
      </c>
      <c r="K7" s="28">
        <f>IFERROR(J7/H7,0)</f>
        <v/>
      </c>
      <c r="L7" s="46">
        <f>J7+'2 - 8 Nov 2020'!J7+'9 - 15 Nov 2020'!J7+'16 - 22 Nov 2020'!J7</f>
        <v/>
      </c>
      <c r="M7" s="172">
        <f>IFERROR(L7/SUM(H7),0)</f>
        <v/>
      </c>
      <c r="N7" s="247" t="n">
        <v>25752.1</v>
      </c>
      <c r="O7" s="89">
        <f>SUM(N7/D7)</f>
        <v/>
      </c>
      <c r="P7" s="247" t="n">
        <v>14460.74</v>
      </c>
      <c r="Q7" s="89">
        <f>SUM(P7/D7)</f>
        <v/>
      </c>
      <c r="R7" s="130" t="n">
        <v>14357.25</v>
      </c>
      <c r="S7" s="26" t="n"/>
    </row>
    <row r="8" ht="15.6" customHeight="1">
      <c r="A8" s="409" t="inlineStr">
        <is>
          <t>Melville</t>
        </is>
      </c>
      <c r="B8" s="200">
        <f>'9 - 15 Nov 2020'!D8</f>
        <v/>
      </c>
      <c r="C8" s="73" t="n">
        <v>127269.54</v>
      </c>
      <c r="D8" s="145" t="n">
        <v>119566.77</v>
      </c>
      <c r="E8" s="130" t="n">
        <v>424476.9</v>
      </c>
      <c r="F8" s="163">
        <f>IFERROR((SUM(D8-C8)/C8),0)</f>
        <v/>
      </c>
      <c r="G8" s="155">
        <f>IFERROR((SUM(D8-B8)/B8),0)</f>
        <v/>
      </c>
      <c r="H8" s="150" t="n">
        <v>439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</f>
        <v/>
      </c>
      <c r="M8" s="172">
        <f>IFERROR(L8/SUM(H8),0)</f>
        <v/>
      </c>
      <c r="N8" s="247" t="n">
        <v>32868.51</v>
      </c>
      <c r="O8" s="89">
        <f>SUM(N8/D8)</f>
        <v/>
      </c>
      <c r="P8" s="247" t="n">
        <v>15603.96</v>
      </c>
      <c r="Q8" s="89">
        <f>SUM(P8/D8)</f>
        <v/>
      </c>
      <c r="R8" s="130" t="n">
        <v>3748</v>
      </c>
      <c r="S8" s="26" t="n"/>
    </row>
    <row r="9" ht="15.6" customHeight="1">
      <c r="A9" s="409" t="inlineStr">
        <is>
          <t>Rosebank</t>
        </is>
      </c>
      <c r="B9" s="200">
        <f>'9 - 15 Nov 2020'!D9</f>
        <v/>
      </c>
      <c r="C9" s="73" t="n">
        <v>344599.74</v>
      </c>
      <c r="D9" s="145" t="n">
        <v>284837.61</v>
      </c>
      <c r="E9" s="130" t="n">
        <v>947580.95</v>
      </c>
      <c r="F9" s="163">
        <f>IFERROR((SUM(D9-C9)/C9),0)</f>
        <v/>
      </c>
      <c r="G9" s="155">
        <f>IFERROR((SUM(D9-B9)/B9),0)</f>
        <v/>
      </c>
      <c r="H9" s="150" t="n">
        <v>977</v>
      </c>
      <c r="I9" s="63">
        <f>IFERROR(D9/H9,0)</f>
        <v/>
      </c>
      <c r="J9" s="61" t="n">
        <v>94</v>
      </c>
      <c r="K9" s="28">
        <f>IFERROR(J9/H9,0)</f>
        <v/>
      </c>
      <c r="L9" s="46">
        <f>J9+'2 - 8 Nov 2020'!J9+'9 - 15 Nov 2020'!J9+'16 - 22 Nov 2020'!J9</f>
        <v/>
      </c>
      <c r="M9" s="172">
        <f>IFERROR(L9/SUM(H9),0)</f>
        <v/>
      </c>
      <c r="N9" s="247" t="n">
        <v>14118.7</v>
      </c>
      <c r="O9" s="89">
        <f>SUM(N9/D9)</f>
        <v/>
      </c>
      <c r="P9" s="247" t="n">
        <v>11073.13</v>
      </c>
      <c r="Q9" s="89">
        <f>SUM(P9/D9)</f>
        <v/>
      </c>
      <c r="R9" s="130" t="n">
        <v>13141.7</v>
      </c>
      <c r="S9" s="26" t="n"/>
    </row>
    <row r="10" ht="15.6" customHeight="1">
      <c r="A10" s="411" t="inlineStr">
        <is>
          <t xml:space="preserve">Waterkloof </t>
        </is>
      </c>
      <c r="B10" s="200">
        <f>'9 - 15 Nov 2020'!D10</f>
        <v/>
      </c>
      <c r="C10" s="73" t="n">
        <v>191019.57</v>
      </c>
      <c r="D10" s="145" t="n">
        <v>148998.25</v>
      </c>
      <c r="E10" s="130" t="n">
        <v>547172.38</v>
      </c>
      <c r="F10" s="163">
        <f>IFERROR((SUM(D10-C10)/C10),0)</f>
        <v/>
      </c>
      <c r="G10" s="155">
        <f>IFERROR((SUM(D10-B10)/B10),0)</f>
        <v/>
      </c>
      <c r="H10" s="150" t="n">
        <v>557</v>
      </c>
      <c r="I10" s="63">
        <f>IFERROR(D10/H10,0)</f>
        <v/>
      </c>
      <c r="J10" s="61" t="n">
        <v>79</v>
      </c>
      <c r="K10" s="28">
        <f>IFERROR(J10/H10,0)</f>
        <v/>
      </c>
      <c r="L10" s="46">
        <f>J10+'2 - 8 Nov 2020'!J10+'9 - 15 Nov 2020'!J10+'16 - 22 Nov 2020'!J10</f>
        <v/>
      </c>
      <c r="M10" s="172">
        <f>IFERROR(L10/SUM(H10),0)</f>
        <v/>
      </c>
      <c r="N10" s="247" t="n">
        <v>30853.35</v>
      </c>
      <c r="O10" s="89">
        <f>SUM(N10/D10)</f>
        <v/>
      </c>
      <c r="P10" s="247" t="n">
        <v>30765.52</v>
      </c>
      <c r="Q10" s="89">
        <f>SUM(P10/D10)</f>
        <v/>
      </c>
      <c r="R10" s="130" t="n">
        <v>6389.69</v>
      </c>
      <c r="S10" s="26" t="n"/>
    </row>
    <row r="11" ht="15.6" customHeight="1">
      <c r="A11" s="409" t="inlineStr">
        <is>
          <t>Eagles Landing</t>
        </is>
      </c>
      <c r="B11" s="200">
        <f>'9 - 15 Nov 2020'!D11</f>
        <v/>
      </c>
      <c r="C11" s="73" t="n">
        <v>383307.6</v>
      </c>
      <c r="D11" s="145" t="n">
        <v>263055.05</v>
      </c>
      <c r="E11" s="130" t="n">
        <v>1051863.4</v>
      </c>
      <c r="F11" s="163">
        <f>IFERROR((SUM(D11-C11)/C11),0)</f>
        <v/>
      </c>
      <c r="G11" s="155">
        <f>IFERROR((SUM(D11-B11)/B11),0)</f>
        <v/>
      </c>
      <c r="H11" s="150" t="n">
        <v>979</v>
      </c>
      <c r="I11" s="63">
        <f>IFERROR(D11/H11,0)</f>
        <v/>
      </c>
      <c r="J11" s="61" t="n">
        <v>70</v>
      </c>
      <c r="K11" s="28">
        <f>IFERROR(J11/H11,0)</f>
        <v/>
      </c>
      <c r="L11" s="46">
        <f>J11+'2 - 8 Nov 2020'!J11+'9 - 15 Nov 2020'!J11+'16 - 22 Nov 2020'!J11</f>
        <v/>
      </c>
      <c r="M11" s="172">
        <f>IFERROR(L11/SUM(H11),0)</f>
        <v/>
      </c>
      <c r="N11" s="247" t="n">
        <v>37242.61</v>
      </c>
      <c r="O11" s="89">
        <f>SUM(N11/D11)</f>
        <v/>
      </c>
      <c r="P11" s="247" t="n">
        <v>22412.17</v>
      </c>
      <c r="Q11" s="89">
        <f>SUM(P11/D11)</f>
        <v/>
      </c>
      <c r="R11" s="130" t="n">
        <v>13314.1</v>
      </c>
      <c r="S11" s="26" t="n"/>
    </row>
    <row r="12" ht="15.6" customHeight="1">
      <c r="A12" s="198" t="inlineStr">
        <is>
          <t>Stellenbosch</t>
        </is>
      </c>
      <c r="B12" s="200">
        <f>'9 - 15 Nov 2020'!D12</f>
        <v/>
      </c>
      <c r="C12" s="73" t="n">
        <v>162809.36</v>
      </c>
      <c r="D12" s="145" t="n">
        <v>124554.72</v>
      </c>
      <c r="E12" s="130" t="n">
        <v>442553.91</v>
      </c>
      <c r="F12" s="163">
        <f>IFERROR((SUM(D12-C12)/C12),0)</f>
        <v/>
      </c>
      <c r="G12" s="155">
        <f>IFERROR((SUM(D12-B12)/B12),0)</f>
        <v/>
      </c>
      <c r="H12" s="150" t="n">
        <v>435</v>
      </c>
      <c r="I12" s="63">
        <f>IFERROR(D12/H12,0)</f>
        <v/>
      </c>
      <c r="J12" s="61" t="n">
        <v>47</v>
      </c>
      <c r="K12" s="28">
        <f>IFERROR(J12/H12,0)</f>
        <v/>
      </c>
      <c r="L12" s="46">
        <f>J12+'2 - 8 Nov 2020'!J12+'9 - 15 Nov 2020'!J12+'16 - 22 Nov 2020'!J12</f>
        <v/>
      </c>
      <c r="M12" s="172">
        <f>IFERROR(L12/SUM(H12),0)</f>
        <v/>
      </c>
      <c r="N12" s="247" t="n">
        <v>15083.3</v>
      </c>
      <c r="O12" s="89">
        <f>SUM(N12/D12)</f>
        <v/>
      </c>
      <c r="P12" s="247" t="n">
        <v>11249.57</v>
      </c>
      <c r="Q12" s="89">
        <f>SUM(P12/D12)</f>
        <v/>
      </c>
      <c r="R12" s="130" t="n">
        <v>11343</v>
      </c>
      <c r="S12" s="26" t="n"/>
    </row>
    <row r="13" ht="15.6" customHeight="1">
      <c r="A13" s="198" t="inlineStr">
        <is>
          <t>Lynnwood</t>
        </is>
      </c>
      <c r="B13" s="200">
        <f>'9 - 15 Nov 2020'!D13</f>
        <v/>
      </c>
      <c r="C13" s="73" t="n">
        <v>242832.81</v>
      </c>
      <c r="D13" s="145" t="n">
        <v>209999.11</v>
      </c>
      <c r="E13" s="130" t="n">
        <v>755668.59</v>
      </c>
      <c r="F13" s="163">
        <f>IFERROR((SUM(D13-C13)/C13),0)</f>
        <v/>
      </c>
      <c r="G13" s="155">
        <f>IFERROR((SUM(D13-B13)/B13),0)</f>
        <v/>
      </c>
      <c r="H13" s="150" t="n">
        <v>764</v>
      </c>
      <c r="I13" s="63">
        <f>IFERROR(D13/H13,0)</f>
        <v/>
      </c>
      <c r="J13" s="61" t="n">
        <v>72</v>
      </c>
      <c r="K13" s="28">
        <f>IFERROR(J13/H13,0)</f>
        <v/>
      </c>
      <c r="L13" s="46">
        <f>J13+'2 - 8 Nov 2020'!J13+'9 - 15 Nov 2020'!J13+'16 - 22 Nov 2020'!J13</f>
        <v/>
      </c>
      <c r="M13" s="172">
        <f>IFERROR(L13/SUM(H13),0)</f>
        <v/>
      </c>
      <c r="N13" s="247" t="n">
        <v>30361.65</v>
      </c>
      <c r="O13" s="89">
        <f>SUM(N13/D13)</f>
        <v/>
      </c>
      <c r="P13" s="247" t="n">
        <v>24555.69</v>
      </c>
      <c r="Q13" s="89">
        <f>SUM(P13/D13)</f>
        <v/>
      </c>
      <c r="R13" s="130" t="n">
        <v>6383.5</v>
      </c>
      <c r="S13" s="26" t="n"/>
    </row>
    <row r="14" hidden="1" ht="15.6" customHeight="1">
      <c r="A14" s="198" t="inlineStr">
        <is>
          <t>Wellington</t>
        </is>
      </c>
      <c r="B14" s="200">
        <f>'9 - 15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'9 - 15 Nov 2020'!D15</f>
        <v/>
      </c>
      <c r="C15" s="73" t="n">
        <v>234804.6</v>
      </c>
      <c r="D15" s="145" t="n">
        <v>151585.43</v>
      </c>
      <c r="E15" s="130" t="n">
        <v>664582.74</v>
      </c>
      <c r="F15" s="163">
        <f>IFERROR((SUM(D15-C15)/C15),0)</f>
        <v/>
      </c>
      <c r="G15" s="155">
        <f>IFERROR((SUM(D15-B15)/B15),0)</f>
        <v/>
      </c>
      <c r="H15" s="150" t="n">
        <v>539</v>
      </c>
      <c r="I15" s="63">
        <f>IFERROR(D15/H15,0)</f>
        <v/>
      </c>
      <c r="J15" s="61" t="n">
        <v>29</v>
      </c>
      <c r="K15" s="28">
        <f>IFERROR(J15/H15,0)</f>
        <v/>
      </c>
      <c r="L15" s="46">
        <f>J15+'2 - 8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16042.17</v>
      </c>
      <c r="Q15" s="89">
        <f>SUM(P15/D15)</f>
        <v/>
      </c>
      <c r="R15" s="130" t="n">
        <v>5577.85</v>
      </c>
      <c r="S15" s="9" t="n"/>
    </row>
    <row r="16" ht="15.6" customHeight="1">
      <c r="A16" s="198" t="inlineStr">
        <is>
          <t>Kyalami Corner</t>
        </is>
      </c>
      <c r="B16" s="200">
        <f>'9 - 15 Nov 2020'!D16</f>
        <v/>
      </c>
      <c r="C16" s="73" t="n">
        <v>133257.3</v>
      </c>
      <c r="D16" s="145" t="n">
        <v>126972.01</v>
      </c>
      <c r="E16" s="130" t="n">
        <v>455612.37</v>
      </c>
      <c r="F16" s="163">
        <f>IFERROR((SUM(D16-C16)/C16),0)</f>
        <v/>
      </c>
      <c r="G16" s="155">
        <f>IFERROR((SUM(D16-B16)/B16),0)</f>
        <v/>
      </c>
      <c r="H16" s="150" t="n">
        <v>445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</f>
        <v/>
      </c>
      <c r="M16" s="172">
        <f>IFERROR(L16/SUM(H16),0)</f>
        <v/>
      </c>
      <c r="N16" s="247" t="n">
        <v>20802.35</v>
      </c>
      <c r="O16" s="89">
        <f>SUM(N16/D16)</f>
        <v/>
      </c>
      <c r="P16" s="247" t="n">
        <v>13720.21</v>
      </c>
      <c r="Q16" s="89">
        <f>SUM(P16/D16)</f>
        <v/>
      </c>
      <c r="R16" s="130" t="n">
        <v>4926</v>
      </c>
      <c r="S16" s="9" t="n"/>
      <c r="V16" s="238" t="n"/>
    </row>
    <row r="17" ht="15.6" customHeight="1">
      <c r="A17" s="251" t="inlineStr">
        <is>
          <t>Paulshof</t>
        </is>
      </c>
      <c r="B17" s="200">
        <f>'9 - 15 Nov 2020'!D17</f>
        <v/>
      </c>
      <c r="C17" s="73" t="n">
        <v>225430.06</v>
      </c>
      <c r="D17" s="145" t="n">
        <v>143830.58</v>
      </c>
      <c r="E17" s="130" t="n">
        <v>649678.62</v>
      </c>
      <c r="F17" s="163">
        <f>IFERROR((SUM(D17-C17)/C17),0)</f>
        <v/>
      </c>
      <c r="G17" s="155">
        <f>IFERROR((SUM(D17-B17)/B17),0)</f>
        <v/>
      </c>
      <c r="H17" s="150" t="n">
        <v>524</v>
      </c>
      <c r="I17" s="63">
        <f>IFERROR(D17/H17,0)</f>
        <v/>
      </c>
      <c r="J17" s="61" t="n">
        <v>57</v>
      </c>
      <c r="K17" s="28">
        <f>IFERROR(J17/H17,0)</f>
        <v/>
      </c>
      <c r="L17" s="46">
        <f>J17+'2 - 8 Nov 2020'!J17+'9 - 15 Nov 2020'!J17+'16 - 22 Nov 2020'!J17</f>
        <v/>
      </c>
      <c r="M17" s="172">
        <f>IFERROR(L17/SUM(H17),0)</f>
        <v/>
      </c>
      <c r="N17" s="247" t="n">
        <v>34736.87</v>
      </c>
      <c r="O17" s="89">
        <f>SUM(N17/D17)</f>
        <v/>
      </c>
      <c r="P17" s="247" t="n">
        <v>10798.13</v>
      </c>
      <c r="Q17" s="89">
        <f>SUM(P17/D17)</f>
        <v/>
      </c>
      <c r="R17" s="130" t="n">
        <v>4563.8</v>
      </c>
      <c r="S17" s="9" t="n"/>
    </row>
    <row r="18" ht="15.6" customHeight="1">
      <c r="A18" s="198" t="inlineStr">
        <is>
          <t>Queenswood</t>
        </is>
      </c>
      <c r="B18" s="200">
        <f>'9 - 15 Nov 2020'!D18</f>
        <v/>
      </c>
      <c r="C18" s="73" t="n">
        <v>234073.41</v>
      </c>
      <c r="D18" s="145" t="n">
        <v>179881.07</v>
      </c>
      <c r="E18" s="130" t="n">
        <v>606317.45</v>
      </c>
      <c r="F18" s="163">
        <f>IFERROR((SUM(D18-C18)/C18),0)</f>
        <v/>
      </c>
      <c r="G18" s="155">
        <f>IFERROR((SUM(D18-B18)/B18),0)</f>
        <v/>
      </c>
      <c r="H18" s="150" t="n">
        <v>683</v>
      </c>
      <c r="I18" s="63">
        <f>IFERROR(D18/H18,0)</f>
        <v/>
      </c>
      <c r="J18" s="61" t="n">
        <v>55</v>
      </c>
      <c r="K18" s="28">
        <f>IFERROR(J18/H18,0)</f>
        <v/>
      </c>
      <c r="L18" s="46">
        <f>J18+'2 - 8 Nov 2020'!J18+'9 - 15 Nov 2020'!J18+'16 - 22 Nov 2020'!J18</f>
        <v/>
      </c>
      <c r="M18" s="172">
        <f>IFERROR(L18/SUM(H18),0)</f>
        <v/>
      </c>
      <c r="N18" s="247" t="n">
        <v>26256.3</v>
      </c>
      <c r="O18" s="89">
        <f>SUM(N18/D18)</f>
        <v/>
      </c>
      <c r="P18" s="247" t="n">
        <v>13852.43</v>
      </c>
      <c r="Q18" s="89">
        <f>SUM(P18/D18)</f>
        <v/>
      </c>
      <c r="R18" s="130" t="n">
        <v>5328</v>
      </c>
      <c r="S18" s="9" t="n"/>
    </row>
    <row r="19" ht="16.2" customHeight="1" thickBot="1">
      <c r="A19" s="203" t="inlineStr">
        <is>
          <t>Centurion</t>
        </is>
      </c>
      <c r="B19" s="201">
        <f>'2 - 8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8" operator="equal" dxfId="0">
      <formula>0</formula>
    </cfRule>
  </conditionalFormatting>
  <conditionalFormatting sqref="D7:E19">
    <cfRule type="cellIs" priority="7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141" t="n"/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'23 - 29 Nov 2020'!D6</f>
        <v/>
      </c>
      <c r="C6" s="255" t="n">
        <v>312733.53</v>
      </c>
      <c r="D6" s="197" t="n">
        <v>237187.54</v>
      </c>
      <c r="E6" s="254" t="n">
        <v>222421.14</v>
      </c>
      <c r="F6" s="162">
        <f>IFERROR((SUM(D6-C6)/C6),0)</f>
        <v/>
      </c>
      <c r="G6" s="154">
        <f>IFERROR((SUM(D6-B6)/B6),0)</f>
        <v/>
      </c>
      <c r="H6" s="149" t="n">
        <v>779</v>
      </c>
      <c r="I6" s="256">
        <f>IFERROR(D6/H6,0)</f>
        <v/>
      </c>
      <c r="J6" s="125" t="n">
        <v>108</v>
      </c>
      <c r="K6" s="126">
        <f>IFERROR(J6/H6,0)</f>
        <v/>
      </c>
      <c r="L6" s="46">
        <f>J6+'2 - 8 Nov 2020'!J6+'9 - 15 Nov 2020'!J6+'16 - 22 Nov 2020'!J6+'23 - 29 Nov 2020'!J6</f>
        <v/>
      </c>
      <c r="M6" s="171">
        <f>IFERROR(L6/SUM(H6),0)</f>
        <v/>
      </c>
      <c r="N6" s="246" t="n">
        <v>41483.91</v>
      </c>
      <c r="O6" s="128">
        <f>SUM(N6/D6)</f>
        <v/>
      </c>
      <c r="P6" s="247" t="n">
        <v>384</v>
      </c>
      <c r="Q6" s="128">
        <f>SUM(P6/D6)</f>
        <v/>
      </c>
      <c r="R6" s="129" t="n">
        <v>7507.5</v>
      </c>
      <c r="S6" s="26" t="n"/>
    </row>
    <row r="7" ht="15.6" customHeight="1">
      <c r="A7" s="409" t="inlineStr">
        <is>
          <t>Melrose Arch</t>
        </is>
      </c>
      <c r="B7" s="200">
        <f>'23 - 29 Nov 2020'!D7</f>
        <v/>
      </c>
      <c r="C7" s="73" t="n">
        <v>341167.2</v>
      </c>
      <c r="D7" s="145" t="n">
        <v>354852.1</v>
      </c>
      <c r="E7" s="130" t="n">
        <v>336409.95</v>
      </c>
      <c r="F7" s="163">
        <f>IFERROR((SUM(D7-C7)/C7),0)</f>
        <v/>
      </c>
      <c r="G7" s="155">
        <f>IFERROR((SUM(D7-B7)/B7),0)</f>
        <v/>
      </c>
      <c r="H7" s="150" t="n">
        <v>1059</v>
      </c>
      <c r="I7" s="63">
        <f>IFERROR(D7/H7,0)</f>
        <v/>
      </c>
      <c r="J7" s="61" t="n">
        <v>130</v>
      </c>
      <c r="K7" s="28">
        <f>IFERROR(J7/H7,0)</f>
        <v/>
      </c>
      <c r="L7" s="46">
        <f>J7+'2 - 8 Nov 2020'!J7+'9 - 15 Nov 2020'!J7+'16 - 22 Nov 2020'!J7+'23 - 29 Nov 2020'!J7</f>
        <v/>
      </c>
      <c r="M7" s="172">
        <f>IFERROR(L7/SUM(H7),0)</f>
        <v/>
      </c>
      <c r="N7" s="247" t="n">
        <v>25607.39</v>
      </c>
      <c r="O7" s="89">
        <f>SUM(N7/D7)</f>
        <v/>
      </c>
      <c r="P7" s="247" t="n">
        <v>17696</v>
      </c>
      <c r="Q7" s="89">
        <f>SUM(P7/D7)</f>
        <v/>
      </c>
      <c r="R7" s="130" t="n">
        <v>22665.63</v>
      </c>
      <c r="S7" s="26" t="n"/>
    </row>
    <row r="8" ht="15.6" customHeight="1">
      <c r="A8" s="409" t="inlineStr">
        <is>
          <t>Melville</t>
        </is>
      </c>
      <c r="B8" s="200">
        <f>'23 - 29 Nov 2020'!D8</f>
        <v/>
      </c>
      <c r="C8" s="73" t="n">
        <v>134327.28</v>
      </c>
      <c r="D8" s="145" t="n">
        <v>103296.92</v>
      </c>
      <c r="E8" s="130" t="n">
        <v>95367.35000000001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44</v>
      </c>
      <c r="K8" s="28">
        <f>IFERROR(J8/H8,0)</f>
        <v/>
      </c>
      <c r="L8" s="46">
        <f>J8+'2 - 8 Nov 2020'!J8+'9 - 15 Nov 2020'!J8+'16 - 22 Nov 2020'!J8+'23 - 29 Nov 2020'!J8</f>
        <v/>
      </c>
      <c r="M8" s="172">
        <f>IFERROR(L8/SUM(H8),0)</f>
        <v/>
      </c>
      <c r="N8" s="247" t="n">
        <v>26062.76</v>
      </c>
      <c r="O8" s="89">
        <f>SUM(N8/D8)</f>
        <v/>
      </c>
      <c r="P8" s="247" t="n">
        <v>10637.04</v>
      </c>
      <c r="Q8" s="89">
        <f>SUM(P8/D8)</f>
        <v/>
      </c>
      <c r="R8" s="130" t="n">
        <v>3377.7</v>
      </c>
      <c r="S8" s="26" t="n"/>
    </row>
    <row r="9" ht="15.6" customHeight="1">
      <c r="A9" s="409" t="inlineStr">
        <is>
          <t>Rosebank</t>
        </is>
      </c>
      <c r="B9" s="200">
        <f>'23 - 29 Nov 2020'!D9</f>
        <v/>
      </c>
      <c r="C9" s="73" t="n">
        <v>403789.74</v>
      </c>
      <c r="D9" s="145" t="n">
        <v>269423.21</v>
      </c>
      <c r="E9" s="130" t="n">
        <v>242940.98</v>
      </c>
      <c r="F9" s="163">
        <f>IFERROR((SUM(D9-C9)/C9),0)</f>
        <v/>
      </c>
      <c r="G9" s="155">
        <f>IFERROR((SUM(D9-B9)/B9),0)</f>
        <v/>
      </c>
      <c r="H9" s="150" t="n">
        <v>952</v>
      </c>
      <c r="I9" s="63">
        <f>IFERROR(D9/H9,0)</f>
        <v/>
      </c>
      <c r="J9" s="61" t="n">
        <v>66</v>
      </c>
      <c r="K9" s="28">
        <f>IFERROR(J9/H9,0)</f>
        <v/>
      </c>
      <c r="L9" s="46">
        <f>J9+'2 - 8 Nov 2020'!J9+'9 - 15 Nov 2020'!J9+'16 - 22 Nov 2020'!J9+'23 - 29 Nov 2020'!J9</f>
        <v/>
      </c>
      <c r="M9" s="172">
        <f>IFERROR(L9/SUM(H9),0)</f>
        <v/>
      </c>
      <c r="N9" s="247" t="n">
        <v>12471.3</v>
      </c>
      <c r="O9" s="89">
        <f>SUM(N9/D9)</f>
        <v/>
      </c>
      <c r="P9" s="247" t="n">
        <v>9751.57</v>
      </c>
      <c r="Q9" s="89">
        <f>SUM(P9/D9)</f>
        <v/>
      </c>
      <c r="R9" s="130" t="n">
        <v>12514.5</v>
      </c>
      <c r="S9" s="26" t="n"/>
    </row>
    <row r="10" ht="15.6" customHeight="1">
      <c r="A10" s="411" t="inlineStr">
        <is>
          <t xml:space="preserve">Waterkloof </t>
        </is>
      </c>
      <c r="B10" s="200">
        <f>'23 - 29 Nov 2020'!D10</f>
        <v/>
      </c>
      <c r="C10" s="73" t="n">
        <v>198366.18</v>
      </c>
      <c r="D10" s="145" t="n">
        <v>158423.91</v>
      </c>
      <c r="E10" s="130" t="n">
        <v>145222.25</v>
      </c>
      <c r="F10" s="163">
        <f>IFERROR((SUM(D10-C10)/C10),0)</f>
        <v/>
      </c>
      <c r="G10" s="155">
        <f>IFERROR((SUM(D10-B10)/B10),0)</f>
        <v/>
      </c>
      <c r="H10" s="150" t="n">
        <v>545</v>
      </c>
      <c r="I10" s="63">
        <f>IFERROR(D10/H10,0)</f>
        <v/>
      </c>
      <c r="J10" s="61" t="n">
        <v>73</v>
      </c>
      <c r="K10" s="28">
        <f>IFERROR(J10/H10,0)</f>
        <v/>
      </c>
      <c r="L10" s="46">
        <f>J10+'2 - 8 Nov 2020'!J10+'9 - 15 Nov 2020'!J10+'16 - 22 Nov 2020'!J10+'23 - 29 Nov 2020'!J10</f>
        <v/>
      </c>
      <c r="M10" s="172">
        <f>IFERROR(L10/SUM(H10),0)</f>
        <v/>
      </c>
      <c r="N10" s="247" t="n">
        <v>32995.56</v>
      </c>
      <c r="O10" s="89">
        <f>SUM(N10/D10)</f>
        <v/>
      </c>
      <c r="P10" s="247" t="n">
        <v>28139.03</v>
      </c>
      <c r="Q10" s="89">
        <f>SUM(P10/D10)</f>
        <v/>
      </c>
      <c r="R10" s="130" t="n">
        <v>9475.6</v>
      </c>
      <c r="S10" s="26" t="n"/>
    </row>
    <row r="11" ht="15.6" customHeight="1">
      <c r="A11" s="409" t="inlineStr">
        <is>
          <t>Eagles Landing</t>
        </is>
      </c>
      <c r="B11" s="200">
        <f>'23 - 29 Nov 2020'!D11</f>
        <v/>
      </c>
      <c r="C11" s="73" t="n">
        <v>390457.33</v>
      </c>
      <c r="D11" s="145" t="n">
        <v>277968.48</v>
      </c>
      <c r="E11" s="130" t="n">
        <v>255743.21</v>
      </c>
      <c r="F11" s="163">
        <f>IFERROR((SUM(D11-C11)/C11),0)</f>
        <v/>
      </c>
      <c r="G11" s="155">
        <f>IFERROR((SUM(D11-B11)/B11),0)</f>
        <v/>
      </c>
      <c r="H11" s="150" t="n">
        <v>1010</v>
      </c>
      <c r="I11" s="63">
        <f>IFERROR(D11/H11,0)</f>
        <v/>
      </c>
      <c r="J11" s="61" t="n">
        <v>81</v>
      </c>
      <c r="K11" s="28">
        <f>IFERROR(J11/H11,0)</f>
        <v/>
      </c>
      <c r="L11" s="46">
        <f>J11+'2 - 8 Nov 2020'!J11+'9 - 15 Nov 2020'!J11+'16 - 22 Nov 2020'!J11+'23 - 29 Nov 2020'!J11</f>
        <v/>
      </c>
      <c r="M11" s="172">
        <f>IFERROR(L11/SUM(H11),0)</f>
        <v/>
      </c>
      <c r="N11" s="247" t="n">
        <v>43274.81</v>
      </c>
      <c r="O11" s="89">
        <f>SUM(N11/D11)</f>
        <v/>
      </c>
      <c r="P11" s="247" t="n">
        <v>25029.7</v>
      </c>
      <c r="Q11" s="89">
        <f>SUM(P11/D11)</f>
        <v/>
      </c>
      <c r="R11" s="130" t="n">
        <v>12367.1</v>
      </c>
      <c r="S11" s="26" t="n"/>
    </row>
    <row r="12" ht="15.6" customHeight="1">
      <c r="A12" s="198" t="inlineStr">
        <is>
          <t>Stellenbosch</t>
        </is>
      </c>
      <c r="B12" s="200">
        <f>'23 - 29 Nov 2020'!D12</f>
        <v/>
      </c>
      <c r="C12" s="73" t="n">
        <v>171682.03</v>
      </c>
      <c r="D12" s="145" t="n">
        <v>107695.94</v>
      </c>
      <c r="E12" s="130" t="n">
        <v>95758.14999999999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23</v>
      </c>
      <c r="K12" s="28">
        <f>IFERROR(J12/H12,0)</f>
        <v/>
      </c>
      <c r="L12" s="46">
        <f>J12+'2 - 8 Nov 2020'!J12+'9 - 15 Nov 2020'!J12+'16 - 22 Nov 2020'!J12+'23 - 29 Nov 2020'!J12</f>
        <v/>
      </c>
      <c r="M12" s="172">
        <f>IFERROR(L12/SUM(H12),0)</f>
        <v/>
      </c>
      <c r="N12" s="247" t="n">
        <v>15808.91</v>
      </c>
      <c r="O12" s="89">
        <f>SUM(N12/D12)</f>
        <v/>
      </c>
      <c r="P12" s="247" t="n">
        <v>3977.84</v>
      </c>
      <c r="Q12" s="89">
        <f>SUM(P12/D12)</f>
        <v/>
      </c>
      <c r="R12" s="130" t="n">
        <v>8494</v>
      </c>
      <c r="S12" s="26" t="n"/>
    </row>
    <row r="13" ht="15.6" customHeight="1">
      <c r="A13" s="198" t="inlineStr">
        <is>
          <t>Lynnwood</t>
        </is>
      </c>
      <c r="B13" s="200">
        <f>'23 - 29 Nov 2020'!D13</f>
        <v/>
      </c>
      <c r="C13" s="73" t="n">
        <v>235871.29</v>
      </c>
      <c r="D13" s="145" t="n">
        <v>190923.7</v>
      </c>
      <c r="E13" s="130" t="n">
        <v>168121.44</v>
      </c>
      <c r="F13" s="163">
        <f>IFERROR((SUM(D13-C13)/C13),0)</f>
        <v/>
      </c>
      <c r="G13" s="155">
        <f>IFERROR((SUM(D13-B13)/B13),0)</f>
        <v/>
      </c>
      <c r="H13" s="150" t="n">
        <v>734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</f>
        <v/>
      </c>
      <c r="M13" s="172">
        <f>IFERROR(L13/SUM(H13),0)</f>
        <v/>
      </c>
      <c r="N13" s="247" t="n">
        <v>26622.87</v>
      </c>
      <c r="O13" s="89">
        <f>SUM(N13/D13)</f>
        <v/>
      </c>
      <c r="P13" s="247" t="n">
        <v>23516.2</v>
      </c>
      <c r="Q13" s="89">
        <f>SUM(P13/D13)</f>
        <v/>
      </c>
      <c r="R13" s="130" t="n">
        <v>6335</v>
      </c>
      <c r="S13" s="26" t="n"/>
    </row>
    <row r="14" hidden="1" ht="15.6" customHeight="1">
      <c r="A14" s="198" t="inlineStr">
        <is>
          <t>Wellington</t>
        </is>
      </c>
      <c r="B14" s="200">
        <f>'23 - 29 Nov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'23 - 29 Nov 2020'!D15</f>
        <v/>
      </c>
      <c r="C15" s="73" t="n">
        <v>316293.24</v>
      </c>
      <c r="D15" s="145" t="n">
        <v>175056.05</v>
      </c>
      <c r="E15" s="130" t="n">
        <v>157716.56</v>
      </c>
      <c r="F15" s="163">
        <f>IFERROR((SUM(D15-C15)/C15),0)</f>
        <v/>
      </c>
      <c r="G15" s="155">
        <f>IFERROR((SUM(D15-B15)/B15),0)</f>
        <v/>
      </c>
      <c r="H15" s="150" t="n">
        <v>575</v>
      </c>
      <c r="I15" s="63">
        <f>IFERROR(D15/H15,0)</f>
        <v/>
      </c>
      <c r="J15" s="61" t="n">
        <v>54</v>
      </c>
      <c r="K15" s="28">
        <f>IFERROR(J15/H15,0)</f>
        <v/>
      </c>
      <c r="L15" s="46">
        <f>J15+'2 - 8 Nov 2020'!J15+'9 - 15 Nov 2020'!J15+'16 - 22 Nov 2020'!J15+'23 - 29 Nov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19197.97</v>
      </c>
      <c r="Q15" s="89">
        <f>SUM(P15/D15)</f>
        <v/>
      </c>
      <c r="R15" s="130" t="n">
        <v>5306.8</v>
      </c>
      <c r="S15" s="9" t="n"/>
    </row>
    <row r="16" ht="15.6" customHeight="1">
      <c r="A16" s="198" t="inlineStr">
        <is>
          <t>Kyalami Corner</t>
        </is>
      </c>
      <c r="B16" s="200">
        <f>'23 - 29 Nov 2020'!D16</f>
        <v/>
      </c>
      <c r="C16" s="73" t="n">
        <v>190910.89</v>
      </c>
      <c r="D16" s="145" t="n">
        <v>148198.58</v>
      </c>
      <c r="E16" s="130" t="n">
        <v>130367.89</v>
      </c>
      <c r="F16" s="163">
        <f>IFERROR((SUM(D16-C16)/C16),0)</f>
        <v/>
      </c>
      <c r="G16" s="155">
        <f>IFERROR((SUM(D16-B16)/B16),0)</f>
        <v/>
      </c>
      <c r="H16" s="150" t="n">
        <v>503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</f>
        <v/>
      </c>
      <c r="M16" s="172">
        <f>IFERROR(L16/SUM(H16),0)</f>
        <v/>
      </c>
      <c r="N16" s="247" t="n">
        <v>27114.48</v>
      </c>
      <c r="O16" s="89">
        <f>SUM(N16/D16)</f>
        <v/>
      </c>
      <c r="P16" s="247" t="n">
        <v>20395.12</v>
      </c>
      <c r="Q16" s="89">
        <f>SUM(P16/D16)</f>
        <v/>
      </c>
      <c r="R16" s="130" t="n">
        <v>7114</v>
      </c>
      <c r="S16" s="9" t="n"/>
      <c r="V16" s="238" t="n"/>
    </row>
    <row r="17" ht="15.6" customHeight="1">
      <c r="A17" s="251" t="inlineStr">
        <is>
          <t>Paulshof</t>
        </is>
      </c>
      <c r="B17" s="200">
        <f>'23 - 29 Nov 2020'!D17</f>
        <v/>
      </c>
      <c r="C17" s="73" t="n">
        <v>221661.96</v>
      </c>
      <c r="D17" s="145" t="n">
        <v>192358.53</v>
      </c>
      <c r="E17" s="130" t="n">
        <v>175050.26</v>
      </c>
      <c r="F17" s="163">
        <f>IFERROR((SUM(D17-C17)/C17),0)</f>
        <v/>
      </c>
      <c r="G17" s="155">
        <f>IFERROR((SUM(D17-B17)/B17),0)</f>
        <v/>
      </c>
      <c r="H17" s="150" t="n">
        <v>606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</f>
        <v/>
      </c>
      <c r="M17" s="172">
        <f>IFERROR(L17/SUM(H17),0)</f>
        <v/>
      </c>
      <c r="N17" s="247" t="n">
        <v>38350.35</v>
      </c>
      <c r="O17" s="89">
        <f>SUM(N17/D17)</f>
        <v/>
      </c>
      <c r="P17" s="247" t="n">
        <v>12118.22</v>
      </c>
      <c r="Q17" s="89">
        <f>SUM(P17/D17)</f>
        <v/>
      </c>
      <c r="R17" s="130" t="n">
        <v>2957.1</v>
      </c>
      <c r="S17" s="9" t="n"/>
    </row>
    <row r="18" ht="15.6" customHeight="1">
      <c r="A18" s="198" t="inlineStr">
        <is>
          <t>Queenswood</t>
        </is>
      </c>
      <c r="B18" s="200">
        <f>'23 - 29 Nov 2020'!D18</f>
        <v/>
      </c>
      <c r="C18" s="73" t="n">
        <v>208562.53</v>
      </c>
      <c r="D18" s="145" t="n">
        <v>183327.04</v>
      </c>
      <c r="E18" s="130" t="n">
        <v>167962.28</v>
      </c>
      <c r="F18" s="163">
        <f>IFERROR((SUM(D18-C18)/C18),0)</f>
        <v/>
      </c>
      <c r="G18" s="155">
        <f>IFERROR((SUM(D18-B18)/B18),0)</f>
        <v/>
      </c>
      <c r="H18" s="150" t="n">
        <v>634</v>
      </c>
      <c r="I18" s="63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</f>
        <v/>
      </c>
      <c r="M18" s="172">
        <f>IFERROR(L18/SUM(H18),0)</f>
        <v/>
      </c>
      <c r="N18" s="247" t="n">
        <v>22342.48</v>
      </c>
      <c r="O18" s="89">
        <f>SUM(N18/D18)</f>
        <v/>
      </c>
      <c r="P18" s="247" t="n">
        <v>14498.57</v>
      </c>
      <c r="Q18" s="89">
        <f>SUM(P18/D18)</f>
        <v/>
      </c>
      <c r="R18" s="130" t="n">
        <v>5643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'30 Nov - 6 Dec 2020'!D6</f>
        <v/>
      </c>
      <c r="C6" s="255" t="n">
        <v>316187.89</v>
      </c>
      <c r="D6" s="197" t="n">
        <v>211933.97</v>
      </c>
      <c r="E6" s="254" t="n">
        <v>434355.11</v>
      </c>
      <c r="F6" s="162">
        <f>IFERROR((SUM(D6-C6)/C6),0)</f>
        <v/>
      </c>
      <c r="G6" s="154">
        <f>IFERROR((SUM(D6-B6)/B6),0)</f>
        <v/>
      </c>
      <c r="H6" s="149" t="n">
        <v>754</v>
      </c>
      <c r="I6" s="256">
        <f>IFERROR(D6/H6,0)</f>
        <v/>
      </c>
      <c r="J6" s="125" t="n">
        <v>78</v>
      </c>
      <c r="K6" s="126">
        <f>IFERROR(J6/H6,0)</f>
        <v/>
      </c>
      <c r="L6" s="46">
        <f>J6+'2 - 8 Nov 2020'!J6+'9 - 15 Nov 2020'!J6+'16 - 22 Nov 2020'!J6+'23 - 29 Nov 2020'!J6+'30 Nov - 6 Dec 2020'!J6</f>
        <v/>
      </c>
      <c r="M6" s="171">
        <f>IFERROR(L6/SUM(H6),0)</f>
        <v/>
      </c>
      <c r="N6" s="246" t="n">
        <v>50601.13</v>
      </c>
      <c r="O6" s="128">
        <f>SUM(N6/D6)</f>
        <v/>
      </c>
      <c r="P6" s="247" t="n">
        <v>0</v>
      </c>
      <c r="Q6" s="128">
        <f>SUM(P6/D6)</f>
        <v/>
      </c>
      <c r="R6" s="129" t="n">
        <v>13846.6</v>
      </c>
      <c r="S6" s="26" t="n"/>
    </row>
    <row r="7" ht="15.6" customHeight="1">
      <c r="A7" s="409" t="inlineStr">
        <is>
          <t>Melrose Arch</t>
        </is>
      </c>
      <c r="B7" s="200">
        <f>'30 Nov - 6 Dec 2020'!D7</f>
        <v/>
      </c>
      <c r="C7" s="73" t="n">
        <v>537525.52</v>
      </c>
      <c r="D7" s="145" t="n">
        <v>399085.56</v>
      </c>
      <c r="E7" s="130" t="n">
        <v>735495.51</v>
      </c>
      <c r="F7" s="163">
        <f>IFERROR((SUM(D7-C7)/C7),0)</f>
        <v/>
      </c>
      <c r="G7" s="155">
        <f>IFERROR((SUM(D7-B7)/B7),0)</f>
        <v/>
      </c>
      <c r="H7" s="150" t="n">
        <v>1040</v>
      </c>
      <c r="I7" s="63">
        <f>IFERROR(D7/H7,0)</f>
        <v/>
      </c>
      <c r="J7" s="61" t="n">
        <v>140</v>
      </c>
      <c r="K7" s="28">
        <f>IFERROR(J7/H7,0)</f>
        <v/>
      </c>
      <c r="L7" s="46">
        <f>J7+'2 - 8 Nov 2020'!J7+'9 - 15 Nov 2020'!J7+'16 - 22 Nov 2020'!J7+'23 - 29 Nov 2020'!J7+'30 Nov - 6 Dec 2020'!J7</f>
        <v/>
      </c>
      <c r="M7" s="172">
        <f>IFERROR(L7/SUM(H7),0)</f>
        <v/>
      </c>
      <c r="N7" s="247" t="n">
        <v>18232.21</v>
      </c>
      <c r="O7" s="89">
        <f>SUM(N7/D7)</f>
        <v/>
      </c>
      <c r="P7" s="247" t="n">
        <v>12319.57</v>
      </c>
      <c r="Q7" s="89">
        <f>SUM(P7/D7)</f>
        <v/>
      </c>
      <c r="R7" s="130" t="n">
        <v>19616.1</v>
      </c>
      <c r="S7" s="26" t="n"/>
    </row>
    <row r="8" ht="15.6" customHeight="1">
      <c r="A8" s="409" t="inlineStr">
        <is>
          <t>Melville</t>
        </is>
      </c>
      <c r="B8" s="200">
        <f>'30 Nov - 6 Dec 2020'!D8</f>
        <v/>
      </c>
      <c r="C8" s="73" t="n">
        <v>129151.53</v>
      </c>
      <c r="D8" s="145" t="n">
        <v>105332.63</v>
      </c>
      <c r="E8" s="130" t="n">
        <v>200699.98</v>
      </c>
      <c r="F8" s="163">
        <f>IFERROR((SUM(D8-C8)/C8),0)</f>
        <v/>
      </c>
      <c r="G8" s="155">
        <f>IFERROR((SUM(D8-B8)/B8),0)</f>
        <v/>
      </c>
      <c r="H8" s="150" t="n">
        <v>384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</f>
        <v/>
      </c>
      <c r="M8" s="172">
        <f>IFERROR(L8/SUM(H8),0)</f>
        <v/>
      </c>
      <c r="N8" s="247" t="n">
        <v>24792.48</v>
      </c>
      <c r="O8" s="89">
        <f>SUM(N8/D8)</f>
        <v/>
      </c>
      <c r="P8" s="247" t="n">
        <v>10616.09</v>
      </c>
      <c r="Q8" s="89">
        <f>SUM(P8/D8)</f>
        <v/>
      </c>
      <c r="R8" s="130" t="n">
        <v>3706.5</v>
      </c>
      <c r="S8" s="26" t="n"/>
    </row>
    <row r="9" ht="15.6" customHeight="1">
      <c r="A9" s="409" t="inlineStr">
        <is>
          <t>Rosebank</t>
        </is>
      </c>
      <c r="B9" s="200">
        <f>'30 Nov - 6 Dec 2020'!D9</f>
        <v/>
      </c>
      <c r="C9" s="73" t="n">
        <v>461868.74</v>
      </c>
      <c r="D9" s="145" t="n">
        <v>348302.25</v>
      </c>
      <c r="E9" s="130" t="n">
        <v>591243.23</v>
      </c>
      <c r="F9" s="163">
        <f>IFERROR((SUM(D9-C9)/C9),0)</f>
        <v/>
      </c>
      <c r="G9" s="155">
        <f>IFERROR((SUM(D9-B9)/B9),0)</f>
        <v/>
      </c>
      <c r="H9" s="150" t="n">
        <v>1159</v>
      </c>
      <c r="I9" s="63">
        <f>IFERROR(D9/H9,0)</f>
        <v/>
      </c>
      <c r="J9" s="61" t="n">
        <v>136</v>
      </c>
      <c r="K9" s="28">
        <f>IFERROR(J9/H9,0)</f>
        <v/>
      </c>
      <c r="L9" s="46">
        <f>J9+'2 - 8 Nov 2020'!J9+'9 - 15 Nov 2020'!J9+'16 - 22 Nov 2020'!J9+'23 - 29 Nov 2020'!J9+'30 Nov - 6 Dec 2020'!J9</f>
        <v/>
      </c>
      <c r="M9" s="172">
        <f>IFERROR(L9/SUM(H9),0)</f>
        <v/>
      </c>
      <c r="N9" s="247" t="n">
        <v>19618.85</v>
      </c>
      <c r="O9" s="89">
        <f>SUM(N9/D9)</f>
        <v/>
      </c>
      <c r="P9" s="247" t="n">
        <v>20722.09</v>
      </c>
      <c r="Q9" s="89">
        <f>SUM(P9/D9)</f>
        <v/>
      </c>
      <c r="R9" s="130" t="n">
        <v>13619.1</v>
      </c>
      <c r="S9" s="26" t="n"/>
    </row>
    <row r="10" ht="15.6" customHeight="1">
      <c r="A10" s="411" t="inlineStr">
        <is>
          <t xml:space="preserve">Waterkloof </t>
        </is>
      </c>
      <c r="B10" s="200">
        <f>'30 Nov - 6 Dec 2020'!D10</f>
        <v/>
      </c>
      <c r="C10" s="73" t="n">
        <v>140709.13</v>
      </c>
      <c r="D10" s="145" t="n">
        <v>155504.39</v>
      </c>
      <c r="E10" s="130" t="n">
        <v>300726.64</v>
      </c>
      <c r="F10" s="163">
        <f>IFERROR((SUM(D10-C10)/C10),0)</f>
        <v/>
      </c>
      <c r="G10" s="155">
        <f>IFERROR((SUM(D10-B10)/B10),0)</f>
        <v/>
      </c>
      <c r="H10" s="150" t="n">
        <v>535</v>
      </c>
      <c r="I10" s="63">
        <f>IFERROR(D10/H10,0)</f>
        <v/>
      </c>
      <c r="J10" s="61" t="n">
        <v>75</v>
      </c>
      <c r="K10" s="28">
        <f>IFERROR(J10/H10,0)</f>
        <v/>
      </c>
      <c r="L10" s="46">
        <f>J10+'2 - 8 Nov 2020'!J10+'9 - 15 Nov 2020'!J10+'16 - 22 Nov 2020'!J10+'23 - 29 Nov 2020'!J10+'30 Nov - 6 Dec 2020'!J10</f>
        <v/>
      </c>
      <c r="M10" s="172">
        <f>IFERROR(L10/SUM(H10),0)</f>
        <v/>
      </c>
      <c r="N10" s="247" t="n">
        <v>39198.67</v>
      </c>
      <c r="O10" s="89">
        <f>SUM(N10/D10)</f>
        <v/>
      </c>
      <c r="P10" s="247" t="n">
        <v>21482.35</v>
      </c>
      <c r="Q10" s="89">
        <f>SUM(P10/D10)</f>
        <v/>
      </c>
      <c r="R10" s="130" t="n">
        <v>5278.5</v>
      </c>
      <c r="S10" s="26" t="n"/>
    </row>
    <row r="11" ht="15.6" customHeight="1">
      <c r="A11" s="409" t="inlineStr">
        <is>
          <t>Eagles Landing</t>
        </is>
      </c>
      <c r="B11" s="200">
        <f>'30 Nov - 6 Dec 2020'!D11</f>
        <v/>
      </c>
      <c r="C11" s="73" t="n">
        <v>423448.09</v>
      </c>
      <c r="D11" s="145" t="n">
        <v>272045.12</v>
      </c>
      <c r="E11" s="130" t="n">
        <v>527788.33</v>
      </c>
      <c r="F11" s="163">
        <f>IFERROR((SUM(D11-C11)/C11),0)</f>
        <v/>
      </c>
      <c r="G11" s="155">
        <f>IFERROR((SUM(D11-B11)/B11),0)</f>
        <v/>
      </c>
      <c r="H11" s="150" t="n">
        <v>962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</f>
        <v/>
      </c>
      <c r="M11" s="172">
        <f>IFERROR(L11/SUM(H11),0)</f>
        <v/>
      </c>
      <c r="N11" s="247" t="n">
        <v>40563.12</v>
      </c>
      <c r="O11" s="89">
        <f>SUM(N11/D11)</f>
        <v/>
      </c>
      <c r="P11" s="247" t="n">
        <v>19763.13</v>
      </c>
      <c r="Q11" s="89">
        <f>SUM(P11/D11)</f>
        <v/>
      </c>
      <c r="R11" s="130" t="n">
        <v>12094</v>
      </c>
      <c r="S11" s="26" t="n"/>
    </row>
    <row r="12" ht="15.6" customHeight="1">
      <c r="A12" s="198" t="inlineStr">
        <is>
          <t>Stellenbosch</t>
        </is>
      </c>
      <c r="B12" s="200">
        <f>'30 Nov - 6 Dec 2020'!D12</f>
        <v/>
      </c>
      <c r="C12" s="73" t="n">
        <v>163386.12</v>
      </c>
      <c r="D12" s="145" t="n">
        <v>110968.88</v>
      </c>
      <c r="E12" s="130" t="n">
        <v>206727.04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</f>
        <v/>
      </c>
      <c r="M12" s="172">
        <f>IFERROR(L12/SUM(H12),0)</f>
        <v/>
      </c>
      <c r="N12" s="247" t="n">
        <v>15024.35</v>
      </c>
      <c r="O12" s="89">
        <f>SUM(N12/D12)</f>
        <v/>
      </c>
      <c r="P12" s="247" t="n">
        <v>8674.65</v>
      </c>
      <c r="Q12" s="89">
        <f>SUM(P12/D12)</f>
        <v/>
      </c>
      <c r="R12" s="130" t="n">
        <v>9448.5</v>
      </c>
      <c r="S12" s="26" t="n"/>
    </row>
    <row r="13" ht="15.6" customHeight="1">
      <c r="A13" s="198" t="inlineStr">
        <is>
          <t>Lynnwood</t>
        </is>
      </c>
      <c r="B13" s="200">
        <f>'30 Nov - 6 Dec 2020'!D13</f>
        <v/>
      </c>
      <c r="C13" s="73" t="n">
        <v>219828.87</v>
      </c>
      <c r="D13" s="145" t="n">
        <v>221561.43</v>
      </c>
      <c r="E13" s="130" t="n">
        <v>389682.87</v>
      </c>
      <c r="F13" s="163">
        <f>IFERROR((SUM(D13-C13)/C13),0)</f>
        <v/>
      </c>
      <c r="G13" s="155">
        <f>IFERROR((SUM(D13-B13)/B13),0)</f>
        <v/>
      </c>
      <c r="H13" s="150" t="n">
        <v>746</v>
      </c>
      <c r="I13" s="63">
        <f>IFERROR(D13/H13,0)</f>
        <v/>
      </c>
      <c r="J13" s="61" t="n">
        <v>63</v>
      </c>
      <c r="K13" s="28">
        <f>IFERROR(J13/H13,0)</f>
        <v/>
      </c>
      <c r="L13" s="46">
        <f>J13+'2 - 8 Nov 2020'!J13+'9 - 15 Nov 2020'!J13+'16 - 22 Nov 2020'!J13+'23 - 29 Nov 2020'!J13+'30 Nov - 6 Dec 2020'!J13</f>
        <v/>
      </c>
      <c r="M13" s="172">
        <f>IFERROR(L13/SUM(H13),0)</f>
        <v/>
      </c>
      <c r="N13" s="247" t="n">
        <v>23855.7</v>
      </c>
      <c r="O13" s="89">
        <f>SUM(N13/D13)</f>
        <v/>
      </c>
      <c r="P13" s="247" t="n">
        <v>19497.74</v>
      </c>
      <c r="Q13" s="89">
        <f>SUM(P13/D13)</f>
        <v/>
      </c>
      <c r="R13" s="130" t="n">
        <v>9461</v>
      </c>
      <c r="S13" s="26" t="n"/>
    </row>
    <row r="14" hidden="1" ht="15.6" customHeight="1">
      <c r="A14" s="198" t="inlineStr">
        <is>
          <t>Wellington</t>
        </is>
      </c>
      <c r="B14" s="200">
        <f>'30 Nov - 6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'30 Nov - 6 Dec 2020'!D15</f>
        <v/>
      </c>
      <c r="C15" s="73" t="n">
        <v>423907.22</v>
      </c>
      <c r="D15" s="145" t="n">
        <v>235811.02</v>
      </c>
      <c r="E15" s="130" t="n">
        <v>393527.58</v>
      </c>
      <c r="F15" s="163">
        <f>IFERROR((SUM(D15-C15)/C15),0)</f>
        <v/>
      </c>
      <c r="G15" s="155">
        <f>IFERROR((SUM(D15-B15)/B15),0)</f>
        <v/>
      </c>
      <c r="H15" s="150" t="n">
        <v>777</v>
      </c>
      <c r="I15" s="63">
        <f>IFERROR(D15/H15,0)</f>
        <v/>
      </c>
      <c r="J15" s="61" t="n">
        <v>59</v>
      </c>
      <c r="K15" s="28">
        <f>IFERROR(J15/H15,0)</f>
        <v/>
      </c>
      <c r="L15" s="46">
        <f>J15+'2 - 8 Nov 2020'!J15+'9 - 15 Nov 2020'!J15+'16 - 22 Nov 2020'!J15+'23 - 29 Nov 2020'!J15+'30 Nov - 6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23105.22</v>
      </c>
      <c r="Q15" s="89">
        <f>SUM(P15/D15)</f>
        <v/>
      </c>
      <c r="R15" s="130" t="n">
        <v>5109.05</v>
      </c>
      <c r="S15" s="9" t="n"/>
    </row>
    <row r="16" ht="15.6" customHeight="1">
      <c r="A16" s="198" t="inlineStr">
        <is>
          <t>Kyalami Corner</t>
        </is>
      </c>
      <c r="B16" s="200">
        <f>'30 Nov - 6 Dec 2020'!D16</f>
        <v/>
      </c>
      <c r="C16" s="73" t="n">
        <v>171875.61</v>
      </c>
      <c r="D16" s="145" t="n">
        <v>149536.15</v>
      </c>
      <c r="E16" s="130" t="n">
        <v>279904.04</v>
      </c>
      <c r="F16" s="163">
        <f>IFERROR((SUM(D16-C16)/C16),0)</f>
        <v/>
      </c>
      <c r="G16" s="155">
        <f>IFERROR((SUM(D16-B16)/B16),0)</f>
        <v/>
      </c>
      <c r="H16" s="150" t="n">
        <v>491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</f>
        <v/>
      </c>
      <c r="M16" s="172">
        <f>IFERROR(L16/SUM(H16),0)</f>
        <v/>
      </c>
      <c r="N16" s="247" t="n">
        <v>28845.96</v>
      </c>
      <c r="O16" s="89">
        <f>SUM(N16/D16)</f>
        <v/>
      </c>
      <c r="P16" s="247" t="n">
        <v>15610.28</v>
      </c>
      <c r="Q16" s="89">
        <f>SUM(P16/D16)</f>
        <v/>
      </c>
      <c r="R16" s="130" t="n">
        <v>11341.8</v>
      </c>
      <c r="S16" s="9" t="n"/>
      <c r="V16" s="238" t="n"/>
    </row>
    <row r="17" ht="15.6" customHeight="1">
      <c r="A17" s="251" t="inlineStr">
        <is>
          <t>Paulshof</t>
        </is>
      </c>
      <c r="B17" s="200">
        <f>'30 Nov - 6 Dec 2020'!D17</f>
        <v/>
      </c>
      <c r="C17" s="73" t="n">
        <v>248340.4</v>
      </c>
      <c r="D17" s="145" t="n">
        <v>185388.01</v>
      </c>
      <c r="E17" s="130" t="n">
        <v>360438.27</v>
      </c>
      <c r="F17" s="163">
        <f>IFERROR((SUM(D17-C17)/C17),0)</f>
        <v/>
      </c>
      <c r="G17" s="155">
        <f>IFERROR((SUM(D17-B17)/B17),0)</f>
        <v/>
      </c>
      <c r="H17" s="150" t="n">
        <v>647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J17+'2 - 8 Nov 2020'!J17+'9 - 15 Nov 2020'!J17+'16 - 22 Nov 2020'!J17+'23 - 29 Nov 2020'!J17+'30 Nov - 6 Dec 2020'!J17</f>
        <v/>
      </c>
      <c r="M17" s="172">
        <f>IFERROR(L17/SUM(H17),0)</f>
        <v/>
      </c>
      <c r="N17" s="247" t="n">
        <v>38553.7</v>
      </c>
      <c r="O17" s="89">
        <f>SUM(N17/D17)</f>
        <v/>
      </c>
      <c r="P17" s="247" t="n">
        <v>10905.21</v>
      </c>
      <c r="Q17" s="89">
        <f>SUM(P17/D17)</f>
        <v/>
      </c>
      <c r="R17" s="130" t="n">
        <v>2484</v>
      </c>
      <c r="S17" s="9" t="n"/>
    </row>
    <row r="18" ht="15.6" customHeight="1">
      <c r="A18" s="198" t="inlineStr">
        <is>
          <t>Queenswood</t>
        </is>
      </c>
      <c r="B18" s="200">
        <f>'30 Nov - 6 Dec 2020'!D18</f>
        <v/>
      </c>
      <c r="C18" s="73" t="n">
        <v>189552.3</v>
      </c>
      <c r="D18" s="145" t="n">
        <v>157947.54</v>
      </c>
      <c r="E18" s="130" t="n">
        <v>325909.82</v>
      </c>
      <c r="F18" s="163">
        <f>IFERROR((SUM(D18-C18)/C18),0)</f>
        <v/>
      </c>
      <c r="G18" s="155">
        <f>IFERROR((SUM(D18-B18)/B18),0)</f>
        <v/>
      </c>
      <c r="H18" s="150" t="n">
        <v>578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J18+'2 - 8 Nov 2020'!J18+'9 - 15 Nov 2020'!J18+'16 - 22 Nov 2020'!J18+'23 - 29 Nov 2020'!J18+'30 Nov - 6 Dec 2020'!J18</f>
        <v/>
      </c>
      <c r="M18" s="172">
        <f>IFERROR(L18/SUM(H18),0)</f>
        <v/>
      </c>
      <c r="N18" s="247" t="n">
        <v>20554.65</v>
      </c>
      <c r="O18" s="89">
        <f>SUM(N18/D18)</f>
        <v/>
      </c>
      <c r="P18" s="247" t="n">
        <v>11393.74</v>
      </c>
      <c r="Q18" s="89">
        <f>SUM(P18/D18)</f>
        <v/>
      </c>
      <c r="R18" s="130" t="n">
        <v>5648.1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Dec 2020'!D6</f>
        <v/>
      </c>
      <c r="C6" s="255" t="n">
        <v>332934.52</v>
      </c>
      <c r="D6" s="197" t="n">
        <v>237883.58</v>
      </c>
      <c r="E6" s="254" t="n">
        <v>672238.6899999999</v>
      </c>
      <c r="F6" s="162">
        <f>IFERROR((SUM(D6-C6)/C6),0)</f>
        <v/>
      </c>
      <c r="G6" s="154">
        <f>IFERROR((SUM(D6-B6)/B6),0)</f>
        <v/>
      </c>
      <c r="H6" s="149" t="n">
        <v>790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</f>
        <v/>
      </c>
      <c r="M6" s="171">
        <f>IFERROR(L6/SUM(H6),0)</f>
        <v/>
      </c>
      <c r="N6" s="246" t="n">
        <v>41859.7</v>
      </c>
      <c r="O6" s="128">
        <f>SUM(N6/D6)</f>
        <v/>
      </c>
      <c r="P6" s="247" t="n">
        <v>0</v>
      </c>
      <c r="Q6" s="128">
        <f>SUM(P6/D6)</f>
        <v/>
      </c>
      <c r="R6" s="129" t="n">
        <v>7953.6</v>
      </c>
      <c r="S6" s="26" t="n"/>
    </row>
    <row r="7" ht="15.6" customHeight="1">
      <c r="A7" s="409" t="inlineStr">
        <is>
          <t>Melrose Arch</t>
        </is>
      </c>
      <c r="B7" s="200">
        <f>'7 - 13 Dec 2020'!D7</f>
        <v/>
      </c>
      <c r="C7" s="73" t="n">
        <v>503613.1</v>
      </c>
      <c r="D7" s="145" t="n">
        <v>387463.59</v>
      </c>
      <c r="E7" s="130" t="n">
        <v>1122959.1</v>
      </c>
      <c r="F7" s="163">
        <f>IFERROR((SUM(D7-C7)/C7),0)</f>
        <v/>
      </c>
      <c r="G7" s="155">
        <f>IFERROR((SUM(D7-B7)/B7),0)</f>
        <v/>
      </c>
      <c r="H7" s="150" t="n">
        <v>1077</v>
      </c>
      <c r="I7" s="63">
        <f>IFERROR(D7/H7,0)</f>
        <v/>
      </c>
      <c r="J7" s="61" t="n">
        <v>159</v>
      </c>
      <c r="K7" s="28">
        <f>IFERROR(J7/H7,0)</f>
        <v/>
      </c>
      <c r="L7" s="46">
        <f>J7+'2 - 8 Nov 2020'!J7+'9 - 15 Nov 2020'!J7+'16 - 22 Nov 2020'!J7+'23 - 29 Nov 2020'!J7+'30 Nov - 6 Dec 2020'!J7+'7 - 13 Dec 2020'!J7</f>
        <v/>
      </c>
      <c r="M7" s="172">
        <f>IFERROR(L7/SUM(H7),0)</f>
        <v/>
      </c>
      <c r="N7" s="247" t="n">
        <v>24842.35</v>
      </c>
      <c r="O7" s="89">
        <f>SUM(N7/D7)</f>
        <v/>
      </c>
      <c r="P7" s="247" t="n">
        <v>15419.26</v>
      </c>
      <c r="Q7" s="89">
        <f>SUM(P7/D7)</f>
        <v/>
      </c>
      <c r="R7" s="130" t="n">
        <v>20673.2</v>
      </c>
      <c r="S7" s="26" t="n"/>
    </row>
    <row r="8" ht="15.6" customHeight="1">
      <c r="A8" s="409" t="inlineStr">
        <is>
          <t>Melville</t>
        </is>
      </c>
      <c r="B8" s="200">
        <f>'7 - 13 Dec 2020'!D8</f>
        <v/>
      </c>
      <c r="C8" s="73" t="n">
        <v>105968.29</v>
      </c>
      <c r="D8" s="145" t="n">
        <v>106325.81</v>
      </c>
      <c r="E8" s="130" t="n">
        <v>307025.79</v>
      </c>
      <c r="F8" s="163">
        <f>IFERROR((SUM(D8-C8)/C8),0)</f>
        <v/>
      </c>
      <c r="G8" s="155">
        <f>IFERROR((SUM(D8-B8)/B8),0)</f>
        <v/>
      </c>
      <c r="H8" s="150" t="n">
        <v>392</v>
      </c>
      <c r="I8" s="63">
        <f>IFERROR(D8/H8,0)</f>
        <v/>
      </c>
      <c r="J8" s="61" t="n">
        <v>42</v>
      </c>
      <c r="K8" s="28">
        <f>IFERROR(J8/H8,0)</f>
        <v/>
      </c>
      <c r="L8" s="46">
        <f>J8+'2 - 8 Nov 2020'!J8+'9 - 15 Nov 2020'!J8+'16 - 22 Nov 2020'!J8+'23 - 29 Nov 2020'!J8+'30 Nov - 6 Dec 2020'!J8+'7 - 13 Dec 2020'!J8</f>
        <v/>
      </c>
      <c r="M8" s="172">
        <f>IFERROR(L8/SUM(H8),0)</f>
        <v/>
      </c>
      <c r="N8" s="247" t="n">
        <v>23105.65</v>
      </c>
      <c r="O8" s="89">
        <f>SUM(N8/D8)</f>
        <v/>
      </c>
      <c r="P8" s="247" t="n">
        <v>19377.39</v>
      </c>
      <c r="Q8" s="89">
        <f>SUM(P8/D8)</f>
        <v/>
      </c>
      <c r="R8" s="130" t="n">
        <v>2778</v>
      </c>
      <c r="S8" s="26" t="n"/>
    </row>
    <row r="9" ht="15.6" customHeight="1">
      <c r="A9" s="409" t="inlineStr">
        <is>
          <t>Rosebank</t>
        </is>
      </c>
      <c r="B9" s="200">
        <f>'7 - 13 Dec 2020'!D9</f>
        <v/>
      </c>
      <c r="C9" s="73" t="n">
        <v>376764.91</v>
      </c>
      <c r="D9" s="145" t="n">
        <v>315397.28</v>
      </c>
      <c r="E9" s="130" t="n">
        <v>860267.5600000001</v>
      </c>
      <c r="F9" s="163">
        <f>IFERROR((SUM(D9-C9)/C9),0)</f>
        <v/>
      </c>
      <c r="G9" s="155">
        <f>IFERROR((SUM(D9-B9)/B9),0)</f>
        <v/>
      </c>
      <c r="H9" s="150" t="n">
        <v>1103</v>
      </c>
      <c r="I9" s="63">
        <f>IFERROR(D9/H9,0)</f>
        <v/>
      </c>
      <c r="J9" s="61" t="n">
        <v>75</v>
      </c>
      <c r="K9" s="28">
        <f>IFERROR(J9/H9,0)</f>
        <v/>
      </c>
      <c r="L9" s="46">
        <f>J9+'2 - 8 Nov 2020'!J9+'9 - 15 Nov 2020'!J9+'16 - 22 Nov 2020'!J9+'23 - 29 Nov 2020'!J9+'30 Nov - 6 Dec 2020'!J9+'7 - 13 Dec 2020'!J9</f>
        <v/>
      </c>
      <c r="M9" s="172">
        <f>IFERROR(L9/SUM(H9),0)</f>
        <v/>
      </c>
      <c r="N9" s="247" t="n">
        <v>25111.87</v>
      </c>
      <c r="O9" s="89">
        <f>SUM(N9/D9)</f>
        <v/>
      </c>
      <c r="P9" s="247" t="n">
        <v>13542.96</v>
      </c>
      <c r="Q9" s="89">
        <f>SUM(P9/D9)</f>
        <v/>
      </c>
      <c r="R9" s="130" t="n">
        <v>10809.5</v>
      </c>
      <c r="S9" s="26" t="n"/>
    </row>
    <row r="10" ht="15.6" customHeight="1">
      <c r="A10" s="411" t="inlineStr">
        <is>
          <t xml:space="preserve">Waterkloof </t>
        </is>
      </c>
      <c r="B10" s="200">
        <f>'7 - 13 Dec 2020'!D10</f>
        <v/>
      </c>
      <c r="C10" s="73" t="n">
        <v>115192.67</v>
      </c>
      <c r="D10" s="145" t="n">
        <v>136185.12</v>
      </c>
      <c r="E10" s="130" t="n">
        <v>436911.76</v>
      </c>
      <c r="F10" s="163">
        <f>IFERROR((SUM(D10-C10)/C10),0)</f>
        <v/>
      </c>
      <c r="G10" s="155">
        <f>IFERROR((SUM(D10-B10)/B10),0)</f>
        <v/>
      </c>
      <c r="H10" s="150" t="n">
        <v>474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</f>
        <v/>
      </c>
      <c r="M10" s="172">
        <f>IFERROR(L10/SUM(H10),0)</f>
        <v/>
      </c>
      <c r="N10" s="247" t="n">
        <v>27348.1</v>
      </c>
      <c r="O10" s="89">
        <f>SUM(N10/D10)</f>
        <v/>
      </c>
      <c r="P10" s="247" t="n">
        <v>21669.35</v>
      </c>
      <c r="Q10" s="89">
        <f>SUM(P10/D10)</f>
        <v/>
      </c>
      <c r="R10" s="130" t="n">
        <v>4990.5</v>
      </c>
      <c r="S10" s="26" t="n"/>
    </row>
    <row r="11" ht="15.6" customHeight="1">
      <c r="A11" s="409" t="inlineStr">
        <is>
          <t>Eagles Landing</t>
        </is>
      </c>
      <c r="B11" s="200">
        <f>'7 - 13 Dec 2020'!D11</f>
        <v/>
      </c>
      <c r="C11" s="73" t="n">
        <v>311404.3</v>
      </c>
      <c r="D11" s="145" t="n">
        <v>284781.13</v>
      </c>
      <c r="E11" s="130" t="n">
        <v>812569.46</v>
      </c>
      <c r="F11" s="163">
        <f>IFERROR((SUM(D11-C11)/C11),0)</f>
        <v/>
      </c>
      <c r="G11" s="155">
        <f>IFERROR((SUM(D11-B11)/B11),0)</f>
        <v/>
      </c>
      <c r="H11" s="150" t="n">
        <v>896</v>
      </c>
      <c r="I11" s="63">
        <f>IFERROR(D11/H11,0)</f>
        <v/>
      </c>
      <c r="J11" s="61" t="n">
        <v>54</v>
      </c>
      <c r="K11" s="28">
        <f>IFERROR(J11/H11,0)</f>
        <v/>
      </c>
      <c r="L11" s="46">
        <f>J11+'2 - 8 Nov 2020'!J11+'9 - 15 Nov 2020'!J11+'16 - 22 Nov 2020'!J11+'23 - 29 Nov 2020'!J11+'30 Nov - 6 Dec 2020'!J11+'7 - 13 Dec 2020'!J11</f>
        <v/>
      </c>
      <c r="M11" s="172">
        <f>IFERROR(L11/SUM(H11),0)</f>
        <v/>
      </c>
      <c r="N11" s="247" t="n">
        <v>39822.3</v>
      </c>
      <c r="O11" s="89">
        <f>SUM(N11/D11)</f>
        <v/>
      </c>
      <c r="P11" s="247" t="n">
        <v>13690.43</v>
      </c>
      <c r="Q11" s="89">
        <f>SUM(P11/D11)</f>
        <v/>
      </c>
      <c r="R11" s="130" t="n">
        <v>14139</v>
      </c>
      <c r="S11" s="26" t="n"/>
    </row>
    <row r="12" ht="15.6" customHeight="1">
      <c r="A12" s="198" t="inlineStr">
        <is>
          <t>Stellenbosch</t>
        </is>
      </c>
      <c r="B12" s="200">
        <f>'7 - 13 Dec 2020'!D12</f>
        <v/>
      </c>
      <c r="C12" s="73" t="n">
        <v>149883.34</v>
      </c>
      <c r="D12" s="145" t="n">
        <v>105426.19</v>
      </c>
      <c r="E12" s="130" t="n">
        <v>312153.23</v>
      </c>
      <c r="F12" s="163">
        <f>IFERROR((SUM(D12-C12)/C12),0)</f>
        <v/>
      </c>
      <c r="G12" s="155">
        <f>IFERROR((SUM(D12-B12)/B12),0)</f>
        <v/>
      </c>
      <c r="H12" s="150" t="n">
        <v>425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</f>
        <v/>
      </c>
      <c r="M12" s="172">
        <f>IFERROR(L12/SUM(H12),0)</f>
        <v/>
      </c>
      <c r="N12" s="247" t="n">
        <v>15840.43</v>
      </c>
      <c r="O12" s="89">
        <f>SUM(N12/D12)</f>
        <v/>
      </c>
      <c r="P12" s="247" t="n">
        <v>2526.09</v>
      </c>
      <c r="Q12" s="89">
        <f>SUM(P12/D12)</f>
        <v/>
      </c>
      <c r="R12" s="130" t="n">
        <v>10901.5</v>
      </c>
      <c r="S12" s="26" t="n"/>
    </row>
    <row r="13" ht="15.6" customHeight="1">
      <c r="A13" s="198" t="inlineStr">
        <is>
          <t>Lynnwood</t>
        </is>
      </c>
      <c r="B13" s="200">
        <f>'7 - 13 Dec 2020'!D13</f>
        <v/>
      </c>
      <c r="C13" s="73" t="n">
        <v>199187.93</v>
      </c>
      <c r="D13" s="145" t="n">
        <v>192989.24</v>
      </c>
      <c r="E13" s="130" t="n">
        <v>582672.11</v>
      </c>
      <c r="F13" s="163">
        <f>IFERROR((SUM(D13-C13)/C13),0)</f>
        <v/>
      </c>
      <c r="G13" s="155">
        <f>IFERROR((SUM(D13-B13)/B13),0)</f>
        <v/>
      </c>
      <c r="H13" s="150" t="n">
        <v>692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</f>
        <v/>
      </c>
      <c r="M13" s="172">
        <f>IFERROR(L13/SUM(H13),0)</f>
        <v/>
      </c>
      <c r="N13" s="247" t="n">
        <v>28771.3</v>
      </c>
      <c r="O13" s="89">
        <f>SUM(N13/D13)</f>
        <v/>
      </c>
      <c r="P13" s="247" t="n">
        <v>19999.57</v>
      </c>
      <c r="Q13" s="89">
        <f>SUM(P13/D13)</f>
        <v/>
      </c>
      <c r="R13" s="130" t="n">
        <v>8751.5</v>
      </c>
      <c r="S13" s="26" t="n"/>
    </row>
    <row r="14" hidden="1" ht="15.6" customHeight="1">
      <c r="A14" s="198" t="inlineStr">
        <is>
          <t>Wellington</t>
        </is>
      </c>
      <c r="B14" s="200">
        <f>'7 - 13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Dec 2020'!D15</f>
        <v/>
      </c>
      <c r="C15" s="73" t="n">
        <v>721819.17</v>
      </c>
      <c r="D15" s="145" t="n">
        <v>415182.37</v>
      </c>
      <c r="E15" s="130" t="n">
        <v>808709.95</v>
      </c>
      <c r="F15" s="163">
        <f>IFERROR((SUM(D15-C15)/C15),0)</f>
        <v/>
      </c>
      <c r="G15" s="155">
        <f>IFERROR((SUM(D15-B15)/B15),0)</f>
        <v/>
      </c>
      <c r="H15" s="150" t="n">
        <v>1259</v>
      </c>
      <c r="I15" s="63">
        <f>IFERROR(D15/H15,0)</f>
        <v/>
      </c>
      <c r="J15" s="61" t="n">
        <v>138</v>
      </c>
      <c r="K15" s="28">
        <f>IFERROR(J15/H15,0)</f>
        <v/>
      </c>
      <c r="L15" s="46">
        <f>J15+'2 - 8 Nov 2020'!J15+'9 - 15 Nov 2020'!J15+'16 - 22 Nov 2020'!J15+'23 - 29 Nov 2020'!J15+'30 Nov - 6 Dec 2020'!J15+'7 - 13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46317.39</v>
      </c>
      <c r="Q15" s="89">
        <f>SUM(P15/D15)</f>
        <v/>
      </c>
      <c r="R15" s="130" t="n">
        <v>10700.35</v>
      </c>
      <c r="S15" s="9" t="n"/>
    </row>
    <row r="16" ht="15.6" customHeight="1">
      <c r="A16" s="198" t="inlineStr">
        <is>
          <t>Kyalami Corner</t>
        </is>
      </c>
      <c r="B16" s="200">
        <f>'7 - 13 Dec 2020'!D16</f>
        <v/>
      </c>
      <c r="C16" s="73" t="n">
        <v>121137.18</v>
      </c>
      <c r="D16" s="145" t="n">
        <v>140278.5</v>
      </c>
      <c r="E16" s="130" t="n">
        <v>533806.08</v>
      </c>
      <c r="F16" s="163">
        <f>IFERROR((SUM(D16-C16)/C16),0)</f>
        <v/>
      </c>
      <c r="G16" s="155">
        <f>IFERROR((SUM(D16-B16)/B16),0)</f>
        <v/>
      </c>
      <c r="H16" s="150" t="n">
        <v>481</v>
      </c>
      <c r="I16" s="63">
        <f>IFERROR(D16/H16,0)</f>
        <v/>
      </c>
      <c r="J16" s="61" t="n">
        <v>36</v>
      </c>
      <c r="K16" s="28">
        <f>IFERROR(J16/H16,0)</f>
        <v/>
      </c>
      <c r="L16" s="46">
        <f>J16+'2 - 8 Nov 2020'!J16+'9 - 15 Nov 2020'!J16+'16 - 22 Nov 2020'!J16+'23 - 29 Nov 2020'!J16+'30 Nov - 6 Dec 2020'!J16+'7 - 13 Dec 2020'!J16</f>
        <v/>
      </c>
      <c r="M16" s="172">
        <f>IFERROR(L16/SUM(H16),0)</f>
        <v/>
      </c>
      <c r="N16" s="247" t="n">
        <v>24842.35</v>
      </c>
      <c r="O16" s="89">
        <f>SUM(N16/D16)</f>
        <v/>
      </c>
      <c r="P16" s="247" t="n">
        <v>15419.26</v>
      </c>
      <c r="Q16" s="89">
        <f>SUM(P16/D16)</f>
        <v/>
      </c>
      <c r="R16" s="130" t="n">
        <v>6103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Dec 2020'!D17</f>
        <v/>
      </c>
      <c r="C17" s="73" t="n">
        <v>210622.19</v>
      </c>
      <c r="D17" s="145" t="n">
        <v>167200.12</v>
      </c>
      <c r="E17" s="130" t="n">
        <v>527638.39</v>
      </c>
      <c r="F17" s="163">
        <f>IFERROR((SUM(D17-C17)/C17),0)</f>
        <v/>
      </c>
      <c r="G17" s="155">
        <f>IFERROR((SUM(D17-B17)/B17),0)</f>
        <v/>
      </c>
      <c r="H17" s="150" t="n">
        <v>605</v>
      </c>
      <c r="I17" s="63">
        <f>IFERROR(D17/H17,0)</f>
        <v/>
      </c>
      <c r="J17" s="61" t="n">
        <v>62</v>
      </c>
      <c r="K17" s="28">
        <f>IFERROR(J17/H17,0)</f>
        <v/>
      </c>
      <c r="L17" s="46">
        <f>J17+'2 - 8 Nov 2020'!J17+'9 - 15 Nov 2020'!J17+'16 - 22 Nov 2020'!J17+'23 - 29 Nov 2020'!J17+'30 Nov - 6 Dec 2020'!J17+'7 - 13 Dec 2020'!J17</f>
        <v/>
      </c>
      <c r="M17" s="172">
        <f>IFERROR(L17/SUM(H17),0)</f>
        <v/>
      </c>
      <c r="N17" s="247" t="n">
        <v>36649.57</v>
      </c>
      <c r="O17" s="89">
        <f>SUM(N17/D17)</f>
        <v/>
      </c>
      <c r="P17" s="247" t="n">
        <v>10684.43</v>
      </c>
      <c r="Q17" s="89">
        <f>SUM(P17/D17)</f>
        <v/>
      </c>
      <c r="R17" s="130" t="n">
        <v>4332.8</v>
      </c>
      <c r="S17" s="9" t="n"/>
    </row>
    <row r="18" ht="15.6" customHeight="1">
      <c r="A18" s="198" t="inlineStr">
        <is>
          <t>Queenswood</t>
        </is>
      </c>
      <c r="B18" s="200">
        <f>'7 - 13 Dec 2020'!D18</f>
        <v/>
      </c>
      <c r="C18" s="73" t="n">
        <v>157671.4</v>
      </c>
      <c r="D18" s="145" t="n">
        <v>150774.19</v>
      </c>
      <c r="E18" s="130" t="n">
        <v>476684.01</v>
      </c>
      <c r="F18" s="163">
        <f>IFERROR((SUM(D18-C18)/C18),0)</f>
        <v/>
      </c>
      <c r="G18" s="155">
        <f>IFERROR((SUM(D18-B18)/B18),0)</f>
        <v/>
      </c>
      <c r="H18" s="150" t="n">
        <v>559</v>
      </c>
      <c r="I18" s="63">
        <f>IFERROR(D18/H18,0)</f>
        <v/>
      </c>
      <c r="J18" s="61" t="n">
        <v>73</v>
      </c>
      <c r="K18" s="28">
        <f>IFERROR(J18/H18,0)</f>
        <v/>
      </c>
      <c r="L18" s="46">
        <f>J18+'2 - 8 Nov 2020'!J18+'9 - 15 Nov 2020'!J18+'16 - 22 Nov 2020'!J18+'23 - 29 Nov 2020'!J18+'30 Nov - 6 Dec 2020'!J18+'7 - 13 Dec 2020'!J18</f>
        <v/>
      </c>
      <c r="M18" s="172">
        <f>IFERROR(L18/SUM(H18),0)</f>
        <v/>
      </c>
      <c r="N18" s="247" t="n">
        <v>19849.74</v>
      </c>
      <c r="O18" s="89">
        <f>SUM(N18/D18)</f>
        <v/>
      </c>
      <c r="P18" s="247" t="n">
        <v>6241.65</v>
      </c>
      <c r="Q18" s="89">
        <f>SUM(P18/D18)</f>
        <v/>
      </c>
      <c r="R18" s="130" t="n">
        <v>6188.5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Dec 2020'!D6</f>
        <v/>
      </c>
      <c r="C6" s="255" t="n">
        <v>251356.61</v>
      </c>
      <c r="D6" s="197" t="n">
        <v>153645.04</v>
      </c>
      <c r="E6" s="254" t="n">
        <v>825883.73</v>
      </c>
      <c r="F6" s="162">
        <f>IFERROR((SUM(D6-C6)/C6),0)</f>
        <v/>
      </c>
      <c r="G6" s="154">
        <f>IFERROR((SUM(D6-B6)/B6),0)</f>
        <v/>
      </c>
      <c r="H6" s="149" t="n">
        <v>508</v>
      </c>
      <c r="I6" s="256">
        <f>IFERROR(D6/H6,0)</f>
        <v/>
      </c>
      <c r="J6" s="125" t="n">
        <v>67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</f>
        <v/>
      </c>
      <c r="M6" s="171">
        <f>IFERROR(L6/SUM(H6),0)</f>
        <v/>
      </c>
      <c r="N6" s="246" t="n">
        <v>29227.04</v>
      </c>
      <c r="O6" s="128">
        <f>SUM(N6/D6)</f>
        <v/>
      </c>
      <c r="P6" s="247" t="n">
        <v>0</v>
      </c>
      <c r="Q6" s="128">
        <f>SUM(P6/D6)</f>
        <v/>
      </c>
      <c r="R6" s="129" t="n">
        <v>4137</v>
      </c>
      <c r="S6" s="26" t="n"/>
    </row>
    <row r="7" ht="15.6" customHeight="1">
      <c r="A7" s="409" t="inlineStr">
        <is>
          <t>Melrose Arch</t>
        </is>
      </c>
      <c r="B7" s="200">
        <f>'14 - 20 Dec 2020'!D7</f>
        <v/>
      </c>
      <c r="C7" s="73" t="n">
        <v>285024.23</v>
      </c>
      <c r="D7" s="145" t="n">
        <v>250899.36</v>
      </c>
      <c r="E7" s="130" t="n">
        <v>1373858.46</v>
      </c>
      <c r="F7" s="163">
        <f>IFERROR((SUM(D7-C7)/C7),0)</f>
        <v/>
      </c>
      <c r="G7" s="155">
        <f>IFERROR((SUM(D7-B7)/B7),0)</f>
        <v/>
      </c>
      <c r="H7" s="150" t="n">
        <v>742</v>
      </c>
      <c r="I7" s="63">
        <f>IFERROR(D7/H7,0)</f>
        <v/>
      </c>
      <c r="J7" s="61" t="n">
        <v>87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</f>
        <v/>
      </c>
      <c r="M7" s="172">
        <f>IFERROR(L7/SUM(H7),0)</f>
        <v/>
      </c>
      <c r="N7" s="247" t="n">
        <v>16632.6</v>
      </c>
      <c r="O7" s="89">
        <f>SUM(N7/D7)</f>
        <v/>
      </c>
      <c r="P7" s="247" t="n">
        <v>10442.61</v>
      </c>
      <c r="Q7" s="89">
        <f>SUM(P7/D7)</f>
        <v/>
      </c>
      <c r="R7" s="130" t="n">
        <v>17233.45</v>
      </c>
      <c r="S7" s="26" t="n"/>
    </row>
    <row r="8" ht="15.6" customHeight="1">
      <c r="A8" s="409" t="inlineStr">
        <is>
          <t>Melville</t>
        </is>
      </c>
      <c r="B8" s="200">
        <f>'14 - 20 Dec 2020'!D8</f>
        <v/>
      </c>
      <c r="C8" s="73" t="n">
        <v>47067.04</v>
      </c>
      <c r="D8" s="145" t="n">
        <v>54247.96</v>
      </c>
      <c r="E8" s="130" t="n">
        <v>361273.75</v>
      </c>
      <c r="F8" s="163">
        <f>IFERROR((SUM(D8-C8)/C8),0)</f>
        <v/>
      </c>
      <c r="G8" s="155">
        <f>IFERROR((SUM(D8-B8)/B8),0)</f>
        <v/>
      </c>
      <c r="H8" s="150" t="n">
        <v>207</v>
      </c>
      <c r="I8" s="63">
        <f>IFERROR(D8/H8,0)</f>
        <v/>
      </c>
      <c r="J8" s="61" t="n">
        <v>23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</f>
        <v/>
      </c>
      <c r="M8" s="172">
        <f>IFERROR(L8/SUM(H8),0)</f>
        <v/>
      </c>
      <c r="N8" s="247" t="n">
        <v>13946.43</v>
      </c>
      <c r="O8" s="89">
        <f>SUM(N8/D8)</f>
        <v/>
      </c>
      <c r="P8" s="247" t="n">
        <v>7062.73</v>
      </c>
      <c r="Q8" s="89">
        <f>SUM(P8/D8)</f>
        <v/>
      </c>
      <c r="R8" s="130" t="n">
        <v>1193.5</v>
      </c>
      <c r="S8" s="26" t="n"/>
    </row>
    <row r="9" ht="15.6" customHeight="1">
      <c r="A9" s="409" t="inlineStr">
        <is>
          <t>Rosebank</t>
        </is>
      </c>
      <c r="B9" s="200">
        <f>'14 - 20 Dec 2020'!D9</f>
        <v/>
      </c>
      <c r="C9" s="73" t="n">
        <v>252630.01</v>
      </c>
      <c r="D9" s="145" t="n">
        <v>188195.54</v>
      </c>
      <c r="E9" s="130" t="n">
        <v>1048463.1</v>
      </c>
      <c r="F9" s="163">
        <f>IFERROR((SUM(D9-C9)/C9),0)</f>
        <v/>
      </c>
      <c r="G9" s="155">
        <f>IFERROR((SUM(D9-B9)/B9),0)</f>
        <v/>
      </c>
      <c r="H9" s="150" t="n">
        <v>714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</f>
        <v/>
      </c>
      <c r="M9" s="172">
        <f>IFERROR(L9/SUM(H9),0)</f>
        <v/>
      </c>
      <c r="N9" s="247" t="n">
        <v>12473.89</v>
      </c>
      <c r="O9" s="89">
        <f>SUM(N9/D9)</f>
        <v/>
      </c>
      <c r="P9" s="247" t="n">
        <v>12776.43</v>
      </c>
      <c r="Q9" s="89">
        <f>SUM(P9/D9)</f>
        <v/>
      </c>
      <c r="R9" s="130" t="n">
        <v>6205.9</v>
      </c>
      <c r="S9" s="26" t="n"/>
    </row>
    <row r="10" ht="15.6" customHeight="1">
      <c r="A10" s="411" t="inlineStr">
        <is>
          <t xml:space="preserve">Waterkloof </t>
        </is>
      </c>
      <c r="B10" s="200">
        <f>'14 - 20 Dec 2020'!D10</f>
        <v/>
      </c>
      <c r="C10" s="73" t="n">
        <v>89635.60000000001</v>
      </c>
      <c r="D10" s="145" t="n">
        <v>91596.78</v>
      </c>
      <c r="E10" s="130" t="n">
        <v>528508.54</v>
      </c>
      <c r="F10" s="163">
        <f>IFERROR((SUM(D10-C10)/C10),0)</f>
        <v/>
      </c>
      <c r="G10" s="155">
        <f>IFERROR((SUM(D10-B10)/B10),0)</f>
        <v/>
      </c>
      <c r="H10" s="150" t="n">
        <v>331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</f>
        <v/>
      </c>
      <c r="M10" s="172">
        <f>IFERROR(L10/SUM(H10),0)</f>
        <v/>
      </c>
      <c r="N10" s="247" t="n">
        <v>20571.39</v>
      </c>
      <c r="O10" s="89">
        <f>SUM(N10/D10)</f>
        <v/>
      </c>
      <c r="P10" s="247" t="n">
        <v>15006.14</v>
      </c>
      <c r="Q10" s="89">
        <f>SUM(P10/D10)</f>
        <v/>
      </c>
      <c r="R10" s="130" t="n">
        <v>3793.1</v>
      </c>
      <c r="S10" s="26" t="n"/>
    </row>
    <row r="11" ht="15.6" customHeight="1">
      <c r="A11" s="409" t="inlineStr">
        <is>
          <t>Eagles Landing</t>
        </is>
      </c>
      <c r="B11" s="200">
        <f>'14 - 20 Dec 2020'!D11</f>
        <v/>
      </c>
      <c r="C11" s="73" t="n">
        <v>234511.26</v>
      </c>
      <c r="D11" s="145" t="n">
        <v>201645.67</v>
      </c>
      <c r="E11" s="130" t="n">
        <v>1014215.13</v>
      </c>
      <c r="F11" s="163">
        <f>IFERROR((SUM(D11-C11)/C11),0)</f>
        <v/>
      </c>
      <c r="G11" s="155">
        <f>IFERROR((SUM(D11-B11)/B11),0)</f>
        <v/>
      </c>
      <c r="H11" s="150" t="n">
        <v>708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</f>
        <v/>
      </c>
      <c r="M11" s="172">
        <f>IFERROR(L11/SUM(H11),0)</f>
        <v/>
      </c>
      <c r="N11" s="247" t="n">
        <v>28100.86</v>
      </c>
      <c r="O11" s="89">
        <f>SUM(N11/D11)</f>
        <v/>
      </c>
      <c r="P11" s="247" t="n">
        <v>27008.39</v>
      </c>
      <c r="Q11" s="89">
        <f>SUM(P11/D11)</f>
        <v/>
      </c>
      <c r="R11" s="130" t="n">
        <v>10005.7</v>
      </c>
      <c r="S11" s="26" t="n"/>
    </row>
    <row r="12" ht="15.6" customHeight="1">
      <c r="A12" s="198" t="inlineStr">
        <is>
          <t>Stellenbosch</t>
        </is>
      </c>
      <c r="B12" s="200">
        <f>'14 - 20 Dec 2020'!D12</f>
        <v/>
      </c>
      <c r="C12" s="73" t="n">
        <v>128991.96</v>
      </c>
      <c r="D12" s="145" t="n">
        <v>79915.53</v>
      </c>
      <c r="E12" s="130" t="n">
        <v>392068.76</v>
      </c>
      <c r="F12" s="163">
        <f>IFERROR((SUM(D12-C12)/C12),0)</f>
        <v/>
      </c>
      <c r="G12" s="155">
        <f>IFERROR((SUM(D12-B12)/B12),0)</f>
        <v/>
      </c>
      <c r="H12" s="150" t="n">
        <v>306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</f>
        <v/>
      </c>
      <c r="M12" s="172">
        <f>IFERROR(L12/SUM(H12),0)</f>
        <v/>
      </c>
      <c r="N12" s="247" t="n">
        <v>17355.74</v>
      </c>
      <c r="O12" s="89">
        <f>SUM(N12/D12)</f>
        <v/>
      </c>
      <c r="P12" s="247" t="n">
        <v>3806.13</v>
      </c>
      <c r="Q12" s="89">
        <f>SUM(P12/D12)</f>
        <v/>
      </c>
      <c r="R12" s="130" t="n">
        <v>4215</v>
      </c>
      <c r="S12" s="26" t="n"/>
    </row>
    <row r="13" ht="15.6" customHeight="1">
      <c r="A13" s="198" t="inlineStr">
        <is>
          <t>Lynnwood</t>
        </is>
      </c>
      <c r="B13" s="200">
        <f>'14 - 20 Dec 2020'!D13</f>
        <v/>
      </c>
      <c r="C13" s="73" t="n">
        <v>128106.26</v>
      </c>
      <c r="D13" s="145" t="n">
        <v>126657.65</v>
      </c>
      <c r="E13" s="130" t="n">
        <v>709329.76</v>
      </c>
      <c r="F13" s="163">
        <f>IFERROR((SUM(D13-C13)/C13),0)</f>
        <v/>
      </c>
      <c r="G13" s="155">
        <f>IFERROR((SUM(D13-B13)/B13),0)</f>
        <v/>
      </c>
      <c r="H13" s="150" t="n">
        <v>489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</f>
        <v/>
      </c>
      <c r="M13" s="172">
        <f>IFERROR(L13/SUM(H13),0)</f>
        <v/>
      </c>
      <c r="N13" s="247" t="n">
        <v>16534.14</v>
      </c>
      <c r="O13" s="89">
        <f>SUM(N13/D13)</f>
        <v/>
      </c>
      <c r="P13" s="247" t="n">
        <v>14465.75</v>
      </c>
      <c r="Q13" s="89">
        <f>SUM(P13/D13)</f>
        <v/>
      </c>
      <c r="R13" s="130" t="n">
        <v>4431.5</v>
      </c>
      <c r="S13" s="26" t="n"/>
    </row>
    <row r="14" hidden="1" ht="15.6" customHeight="1">
      <c r="A14" s="198" t="inlineStr">
        <is>
          <t>Wellington</t>
        </is>
      </c>
      <c r="B14" s="200">
        <f>'14 - 20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Dec 2020'!D15</f>
        <v/>
      </c>
      <c r="C15" s="73" t="n">
        <v>845642.47</v>
      </c>
      <c r="D15" s="145" t="n">
        <v>544494.12</v>
      </c>
      <c r="E15" s="130" t="n">
        <v>1353204.07</v>
      </c>
      <c r="F15" s="163">
        <f>IFERROR((SUM(D15-C15)/C15),0)</f>
        <v/>
      </c>
      <c r="G15" s="155">
        <f>IFERROR((SUM(D15-B15)/B15),0)</f>
        <v/>
      </c>
      <c r="H15" s="150" t="n">
        <v>1511</v>
      </c>
      <c r="I15" s="63">
        <f>IFERROR(D15/H15,0)</f>
        <v/>
      </c>
      <c r="J15" s="61" t="n">
        <v>164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65896.96000000001</v>
      </c>
      <c r="Q15" s="89">
        <f>SUM(P15/D15)</f>
        <v/>
      </c>
      <c r="R15" s="130" t="n">
        <v>10801.3</v>
      </c>
      <c r="S15" s="9" t="n"/>
    </row>
    <row r="16" ht="15.6" customHeight="1">
      <c r="A16" s="198" t="inlineStr">
        <is>
          <t>Kyalami Corner</t>
        </is>
      </c>
      <c r="B16" s="200">
        <f>'14 - 20 Dec 2020'!D16</f>
        <v/>
      </c>
      <c r="C16" s="73" t="n">
        <v>72195.61</v>
      </c>
      <c r="D16" s="145" t="n">
        <v>90716.7</v>
      </c>
      <c r="E16" s="130" t="n">
        <v>510899.24</v>
      </c>
      <c r="F16" s="163">
        <f>IFERROR((SUM(D16-C16)/C16),0)</f>
        <v/>
      </c>
      <c r="G16" s="155">
        <f>IFERROR((SUM(D16-B16)/B16),0)</f>
        <v/>
      </c>
      <c r="H16" s="150" t="n">
        <v>320</v>
      </c>
      <c r="I16" s="63">
        <f>IFERROR(D16/H16,0)</f>
        <v/>
      </c>
      <c r="J16" s="61" t="n">
        <v>45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</f>
        <v/>
      </c>
      <c r="M16" s="172">
        <f>IFERROR(L16/SUM(H16),0)</f>
        <v/>
      </c>
      <c r="N16" s="247" t="n">
        <v>15090.3</v>
      </c>
      <c r="O16" s="89">
        <f>SUM(N16/D16)</f>
        <v/>
      </c>
      <c r="P16" s="247" t="n">
        <v>14104.82</v>
      </c>
      <c r="Q16" s="89">
        <f>SUM(P16/D16)</f>
        <v/>
      </c>
      <c r="R16" s="130" t="n">
        <v>2935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Dec 2020'!D17</f>
        <v/>
      </c>
      <c r="C17" s="73" t="n">
        <v>123472.58</v>
      </c>
      <c r="D17" s="145" t="n">
        <v>95656.3</v>
      </c>
      <c r="E17" s="130" t="n">
        <v>623294.6899999999</v>
      </c>
      <c r="F17" s="163">
        <f>IFERROR((SUM(D17-C17)/C17),0)</f>
        <v/>
      </c>
      <c r="G17" s="155">
        <f>IFERROR((SUM(D17-B17)/B17),0)</f>
        <v/>
      </c>
      <c r="H17" s="150" t="n">
        <v>342</v>
      </c>
      <c r="I17" s="63">
        <f>IFERROR(D17/H17,0)</f>
        <v/>
      </c>
      <c r="J17" s="61" t="n">
        <v>43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</f>
        <v/>
      </c>
      <c r="M17" s="172">
        <f>IFERROR(L17/SUM(H17),0)</f>
        <v/>
      </c>
      <c r="N17" s="247" t="n">
        <v>23474.28</v>
      </c>
      <c r="O17" s="89">
        <f>SUM(N17/D17)</f>
        <v/>
      </c>
      <c r="P17" s="247" t="n">
        <v>7323.83</v>
      </c>
      <c r="Q17" s="89">
        <f>SUM(P17/D17)</f>
        <v/>
      </c>
      <c r="R17" s="130" t="n">
        <v>2103.5</v>
      </c>
      <c r="S17" s="9" t="n"/>
    </row>
    <row r="18" ht="15.6" customHeight="1">
      <c r="A18" s="198" t="inlineStr">
        <is>
          <t>Queenswood</t>
        </is>
      </c>
      <c r="B18" s="200">
        <f>'14 - 20 Dec 2020'!D18</f>
        <v/>
      </c>
      <c r="C18" s="73" t="n">
        <v>133520.31</v>
      </c>
      <c r="D18" s="145" t="n">
        <v>110233.85</v>
      </c>
      <c r="E18" s="130" t="n">
        <v>586917.86</v>
      </c>
      <c r="F18" s="163">
        <f>IFERROR((SUM(D18-C18)/C18),0)</f>
        <v/>
      </c>
      <c r="G18" s="155">
        <f>IFERROR((SUM(D18-B18)/B18),0)</f>
        <v/>
      </c>
      <c r="H18" s="150" t="n">
        <v>398</v>
      </c>
      <c r="I18" s="63">
        <f>IFERROR(D18/H18,0)</f>
        <v/>
      </c>
      <c r="J18" s="61" t="n">
        <v>36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</f>
        <v/>
      </c>
      <c r="M18" s="172">
        <f>IFERROR(L18/SUM(H18),0)</f>
        <v/>
      </c>
      <c r="N18" s="247" t="n">
        <v>15878.57</v>
      </c>
      <c r="O18" s="89">
        <f>SUM(N18/D18)</f>
        <v/>
      </c>
      <c r="P18" s="247" t="n">
        <v>6257.91</v>
      </c>
      <c r="Q18" s="89">
        <f>SUM(P18/D18)</f>
        <v/>
      </c>
      <c r="R18" s="130" t="n">
        <v>3009.5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Dec 2020'!D6</f>
        <v/>
      </c>
      <c r="C6" s="255" t="n">
        <v>276666.88</v>
      </c>
      <c r="D6" s="197" t="n">
        <v>102807.9</v>
      </c>
      <c r="E6" s="254" t="n">
        <v>38469.08</v>
      </c>
      <c r="F6" s="162">
        <f>IFERROR((SUM(D6-C6)/C6),0)</f>
        <v/>
      </c>
      <c r="G6" s="154">
        <f>IFERROR((SUM(D6-B6)/B6),0)</f>
        <v/>
      </c>
      <c r="H6" s="149" t="n">
        <v>390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20730.22</v>
      </c>
      <c r="O6" s="128">
        <f>SUM(N6/D6)</f>
        <v/>
      </c>
      <c r="P6" s="247" t="n">
        <v>0</v>
      </c>
      <c r="Q6" s="128">
        <f>SUM(P6/D6)</f>
        <v/>
      </c>
      <c r="R6" s="129" t="n">
        <v>4984</v>
      </c>
      <c r="S6" s="26" t="n"/>
    </row>
    <row r="7" ht="15.6" customHeight="1">
      <c r="A7" s="409" t="inlineStr">
        <is>
          <t>Melrose Arch</t>
        </is>
      </c>
      <c r="B7" s="200">
        <f>'21 - 27 Dec 2020'!D7</f>
        <v/>
      </c>
      <c r="C7" s="73" t="n">
        <v>266740.18</v>
      </c>
      <c r="D7" s="145" t="n">
        <v>106626.3</v>
      </c>
      <c r="E7" s="130" t="n">
        <v>47571.06</v>
      </c>
      <c r="F7" s="163">
        <f>IFERROR((SUM(D7-C7)/C7),0)</f>
        <v/>
      </c>
      <c r="G7" s="155">
        <f>IFERROR((SUM(D7-B7)/B7),0)</f>
        <v/>
      </c>
      <c r="H7" s="150" t="n">
        <v>382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14824.87</v>
      </c>
      <c r="O7" s="89">
        <f>SUM(N7/D7)</f>
        <v/>
      </c>
      <c r="P7" s="247" t="n">
        <v>5876.52</v>
      </c>
      <c r="Q7" s="89">
        <f>SUM(P7/D7)</f>
        <v/>
      </c>
      <c r="R7" s="130" t="n">
        <v>8220</v>
      </c>
      <c r="S7" s="26" t="n"/>
    </row>
    <row r="8" ht="15.6" customHeight="1">
      <c r="A8" s="409" t="inlineStr">
        <is>
          <t>Melville</t>
        </is>
      </c>
      <c r="B8" s="200">
        <f>'21 - 27 Dec 2020'!D8</f>
        <v/>
      </c>
      <c r="C8" s="73" t="n">
        <v>67999.53</v>
      </c>
      <c r="D8" s="145" t="n">
        <v>49292.77</v>
      </c>
      <c r="E8" s="130" t="n">
        <v>16952.68</v>
      </c>
      <c r="F8" s="163">
        <f>IFERROR((SUM(D8-C8)/C8),0)</f>
        <v/>
      </c>
      <c r="G8" s="155">
        <f>IFERROR((SUM(D8-B8)/B8),0)</f>
        <v/>
      </c>
      <c r="H8" s="150" t="n">
        <v>196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19607.1</v>
      </c>
      <c r="O8" s="89">
        <f>SUM(N8/D8)</f>
        <v/>
      </c>
      <c r="P8" s="247" t="n">
        <v>7677.48</v>
      </c>
      <c r="Q8" s="89">
        <f>SUM(P8/D8)</f>
        <v/>
      </c>
      <c r="R8" s="130" t="n">
        <v>1707</v>
      </c>
      <c r="S8" s="26" t="n"/>
    </row>
    <row r="9" ht="15.6" customHeight="1">
      <c r="A9" s="409" t="inlineStr">
        <is>
          <t>Rosebank</t>
        </is>
      </c>
      <c r="B9" s="200">
        <f>'21 - 27 Dec 2020'!D9</f>
        <v/>
      </c>
      <c r="C9" s="73" t="n">
        <v>305260.75</v>
      </c>
      <c r="D9" s="145" t="n">
        <v>130613.75</v>
      </c>
      <c r="E9" s="130" t="n">
        <v>58960.32</v>
      </c>
      <c r="F9" s="163">
        <f>IFERROR((SUM(D9-C9)/C9),0)</f>
        <v/>
      </c>
      <c r="G9" s="155">
        <f>IFERROR((SUM(D9-B9)/B9),0)</f>
        <v/>
      </c>
      <c r="H9" s="150" t="n">
        <v>537</v>
      </c>
      <c r="I9" s="63">
        <f>IFERROR(D9/H9,0)</f>
        <v/>
      </c>
      <c r="J9" s="61" t="n">
        <v>59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20650.19</v>
      </c>
      <c r="O9" s="89">
        <f>SUM(N9/D9)</f>
        <v/>
      </c>
      <c r="P9" s="247" t="n">
        <v>7865.83</v>
      </c>
      <c r="Q9" s="89">
        <f>SUM(P9/D9)</f>
        <v/>
      </c>
      <c r="R9" s="130" t="n">
        <v>7068.5</v>
      </c>
      <c r="S9" s="26" t="n"/>
    </row>
    <row r="10" ht="15.6" customHeight="1">
      <c r="A10" s="411" t="inlineStr">
        <is>
          <t xml:space="preserve">Waterkloof </t>
        </is>
      </c>
      <c r="B10" s="200">
        <f>'21 - 27 Dec 2020'!D10</f>
        <v/>
      </c>
      <c r="C10" s="73" t="n">
        <v>112210.71</v>
      </c>
      <c r="D10" s="145" t="n">
        <v>72961.5</v>
      </c>
      <c r="E10" s="130" t="n">
        <v>26591.39</v>
      </c>
      <c r="F10" s="163">
        <f>IFERROR((SUM(D10-C10)/C10),0)</f>
        <v/>
      </c>
      <c r="G10" s="155">
        <f>IFERROR((SUM(D10-B10)/B10),0)</f>
        <v/>
      </c>
      <c r="H10" s="150" t="n">
        <v>277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18121.26</v>
      </c>
      <c r="O10" s="89">
        <f>SUM(N10/D10)</f>
        <v/>
      </c>
      <c r="P10" s="247" t="n">
        <v>20193</v>
      </c>
      <c r="Q10" s="89">
        <f>SUM(P10/D10)</f>
        <v/>
      </c>
      <c r="R10" s="130" t="n">
        <v>3194.5</v>
      </c>
      <c r="S10" s="26" t="n"/>
    </row>
    <row r="11" ht="15.6" customHeight="1">
      <c r="A11" s="409" t="inlineStr">
        <is>
          <t>Eagles Landing</t>
        </is>
      </c>
      <c r="B11" s="200">
        <f>'21 - 27 Dec 2020'!D11</f>
        <v/>
      </c>
      <c r="C11" s="73" t="n">
        <v>259688.15</v>
      </c>
      <c r="D11" s="145" t="n">
        <v>122773.19</v>
      </c>
      <c r="E11" s="130" t="n">
        <v>44613.62</v>
      </c>
      <c r="F11" s="163">
        <f>IFERROR((SUM(D11-C11)/C11),0)</f>
        <v/>
      </c>
      <c r="G11" s="155">
        <f>IFERROR((SUM(D11-B11)/B11),0)</f>
        <v/>
      </c>
      <c r="H11" s="150" t="n">
        <v>526</v>
      </c>
      <c r="I11" s="63">
        <f>IFERROR(D11/H11,0)</f>
        <v/>
      </c>
      <c r="J11" s="61" t="n">
        <v>25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19609.11</v>
      </c>
      <c r="O11" s="89">
        <f>SUM(N11/D11)</f>
        <v/>
      </c>
      <c r="P11" s="247" t="n">
        <v>17320.26</v>
      </c>
      <c r="Q11" s="89">
        <f>SUM(P11/D11)</f>
        <v/>
      </c>
      <c r="R11" s="130" t="n">
        <v>6358.1</v>
      </c>
      <c r="S11" s="26" t="n"/>
    </row>
    <row r="12" ht="15.6" customHeight="1">
      <c r="A12" s="198" t="inlineStr">
        <is>
          <t>Stellenbosch</t>
        </is>
      </c>
      <c r="B12" s="200">
        <f>'21 - 27 Dec 2020'!D12</f>
        <v/>
      </c>
      <c r="C12" s="73" t="n">
        <v>172759.05</v>
      </c>
      <c r="D12" s="145" t="n">
        <v>76971.94</v>
      </c>
      <c r="E12" s="130" t="n">
        <v>38266.99</v>
      </c>
      <c r="F12" s="163">
        <f>IFERROR((SUM(D12-C12)/C12),0)</f>
        <v/>
      </c>
      <c r="G12" s="155">
        <f>IFERROR((SUM(D12-B12)/B12),0)</f>
        <v/>
      </c>
      <c r="H12" s="150" t="n">
        <v>320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20050.48</v>
      </c>
      <c r="O12" s="89">
        <f>SUM(N12/D12)</f>
        <v/>
      </c>
      <c r="P12" s="247" t="n">
        <v>5336.83</v>
      </c>
      <c r="Q12" s="89">
        <f>SUM(P12/D12)</f>
        <v/>
      </c>
      <c r="R12" s="130" t="n">
        <v>6656</v>
      </c>
      <c r="S12" s="26" t="n"/>
    </row>
    <row r="13" ht="15.6" customHeight="1">
      <c r="A13" s="198" t="inlineStr">
        <is>
          <t>Lynnwood</t>
        </is>
      </c>
      <c r="B13" s="200">
        <f>'21 - 27 Dec 2020'!D13</f>
        <v/>
      </c>
      <c r="C13" s="73" t="n">
        <v>155712.35</v>
      </c>
      <c r="D13" s="145" t="n">
        <v>105150.61</v>
      </c>
      <c r="E13" s="130" t="n">
        <v>48862</v>
      </c>
      <c r="F13" s="163">
        <f>IFERROR((SUM(D13-C13)/C13),0)</f>
        <v/>
      </c>
      <c r="G13" s="155">
        <f>IFERROR((SUM(D13-B13)/B13),0)</f>
        <v/>
      </c>
      <c r="H13" s="150" t="n">
        <v>433</v>
      </c>
      <c r="I13" s="63">
        <f>IFERROR(D13/H13,0)</f>
        <v/>
      </c>
      <c r="J13" s="61" t="n">
        <v>39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29679.96</v>
      </c>
      <c r="O13" s="89">
        <f>SUM(N13/D13)</f>
        <v/>
      </c>
      <c r="P13" s="247" t="n">
        <v>17473.01</v>
      </c>
      <c r="Q13" s="89">
        <f>SUM(P13/D13)</f>
        <v/>
      </c>
      <c r="R13" s="130" t="n">
        <v>4706</v>
      </c>
      <c r="S13" s="26" t="n"/>
    </row>
    <row r="14" hidden="1" ht="15.6" customHeight="1">
      <c r="A14" s="198" t="inlineStr">
        <is>
          <t>Wellington</t>
        </is>
      </c>
      <c r="B14" s="200">
        <f>'21 - 27 Dec 2020'!D14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Dec 2020'!D15</f>
        <v/>
      </c>
      <c r="C15" s="73" t="n">
        <v>877892.3100000001</v>
      </c>
      <c r="D15" s="145" t="n">
        <v>528430.3</v>
      </c>
      <c r="E15" s="130" t="n">
        <v>238794.37</v>
      </c>
      <c r="F15" s="163">
        <f>IFERROR((SUM(D15-C15)/C15),0)</f>
        <v/>
      </c>
      <c r="G15" s="155">
        <f>IFERROR((SUM(D15-B15)/B15),0)</f>
        <v/>
      </c>
      <c r="H15" s="150" t="n">
        <v>1556</v>
      </c>
      <c r="I15" s="63">
        <f>IFERROR(D15/H15,0)</f>
        <v/>
      </c>
      <c r="J15" s="61" t="n">
        <v>215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74042.61</v>
      </c>
      <c r="Q15" s="89">
        <f>SUM(P15/D15)</f>
        <v/>
      </c>
      <c r="R15" s="130" t="n">
        <v>11285.3</v>
      </c>
      <c r="S15" s="9" t="n"/>
    </row>
    <row r="16" ht="15.6" customHeight="1">
      <c r="A16" s="198" t="inlineStr">
        <is>
          <t>Kyalami Corner</t>
        </is>
      </c>
      <c r="B16" s="200">
        <f>'21 - 27 Dec 2020'!D16</f>
        <v/>
      </c>
      <c r="C16" s="73" t="n">
        <v>104178.02</v>
      </c>
      <c r="D16" s="145" t="n">
        <v>63938.09</v>
      </c>
      <c r="E16" s="130" t="n">
        <v>29109.42</v>
      </c>
      <c r="F16" s="163">
        <f>IFERROR((SUM(D16-C16)/C16),0)</f>
        <v/>
      </c>
      <c r="G16" s="155">
        <f>IFERROR((SUM(D16-B16)/B16),0)</f>
        <v/>
      </c>
      <c r="H16" s="150" t="n">
        <v>396</v>
      </c>
      <c r="I16" s="63">
        <f>IFERROR(D16/H16,0)</f>
        <v/>
      </c>
      <c r="J16" s="61" t="n">
        <v>34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14554.22</v>
      </c>
      <c r="O16" s="89">
        <f>SUM(N16/D16)</f>
        <v/>
      </c>
      <c r="P16" s="247" t="n">
        <v>12269.04</v>
      </c>
      <c r="Q16" s="89">
        <f>SUM(P16/D16)</f>
        <v/>
      </c>
      <c r="R16" s="130" t="n">
        <v>2684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Dec 2020'!D17</f>
        <v/>
      </c>
      <c r="C17" s="73" t="n">
        <v>153893.73</v>
      </c>
      <c r="D17" s="145" t="n">
        <v>79557.17</v>
      </c>
      <c r="E17" s="130" t="n">
        <v>38211.79</v>
      </c>
      <c r="F17" s="163">
        <f>IFERROR((SUM(D17-C17)/C17),0)</f>
        <v/>
      </c>
      <c r="G17" s="155">
        <f>IFERROR((SUM(D17-B17)/B17),0)</f>
        <v/>
      </c>
      <c r="H17" s="150" t="n">
        <v>350</v>
      </c>
      <c r="I17" s="63">
        <f>IFERROR(D17/H17,0)</f>
        <v/>
      </c>
      <c r="J17" s="61" t="n">
        <v>39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30453</v>
      </c>
      <c r="O17" s="89">
        <f>SUM(N17/D17)</f>
        <v/>
      </c>
      <c r="P17" s="247" t="n">
        <v>9767.74</v>
      </c>
      <c r="Q17" s="89">
        <f>SUM(P17/D17)</f>
        <v/>
      </c>
      <c r="R17" s="130" t="n">
        <v>1242.4</v>
      </c>
      <c r="S17" s="9" t="n"/>
    </row>
    <row r="18" ht="15.6" customHeight="1">
      <c r="A18" s="198" t="inlineStr">
        <is>
          <t>Queenswood</t>
        </is>
      </c>
      <c r="B18" s="200">
        <f>'21 - 27 Dec 2020'!D18</f>
        <v/>
      </c>
      <c r="C18" s="73" t="n">
        <v>194529.92</v>
      </c>
      <c r="D18" s="145" t="n">
        <v>103042.11</v>
      </c>
      <c r="E18" s="130" t="n">
        <v>47222.37</v>
      </c>
      <c r="F18" s="163">
        <f>IFERROR((SUM(D18-C18)/C18),0)</f>
        <v/>
      </c>
      <c r="G18" s="155">
        <f>IFERROR((SUM(D18-B18)/B18),0)</f>
        <v/>
      </c>
      <c r="H18" s="150" t="n">
        <v>416</v>
      </c>
      <c r="I18" s="258">
        <f>IFERROR(D18/H18,0)</f>
        <v/>
      </c>
      <c r="J18" s="61" t="n">
        <v>51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22785.87</v>
      </c>
      <c r="O18" s="89">
        <f>SUM(N18/D18)</f>
        <v/>
      </c>
      <c r="P18" s="247" t="n">
        <v>11867.83</v>
      </c>
      <c r="Q18" s="89">
        <f>SUM(P18/D18)</f>
        <v/>
      </c>
      <c r="R18" s="130" t="n">
        <v>4077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9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'28 Dec 2020 - 3 Jan 2021'!D6</f>
        <v/>
      </c>
      <c r="C6" s="255" t="n">
        <v>296675.38</v>
      </c>
      <c r="D6" s="197" t="n">
        <v>132428.34</v>
      </c>
      <c r="E6" s="254" t="n">
        <v>170897.42</v>
      </c>
      <c r="F6" s="162">
        <f>IFERROR((SUM(D6-C6)/C6),0)</f>
        <v/>
      </c>
      <c r="G6" s="154">
        <f>IFERROR((SUM(D6-B6)/B6),0)</f>
        <v/>
      </c>
      <c r="H6" s="149" t="n">
        <v>489</v>
      </c>
      <c r="I6" s="256">
        <f>IFERROR(D6/H6,0)</f>
        <v/>
      </c>
      <c r="J6" s="125" t="n">
        <v>50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</f>
        <v/>
      </c>
      <c r="M6" s="171">
        <f>IFERROR(L6/SUM(H6),0)</f>
        <v/>
      </c>
      <c r="N6" s="246" t="n">
        <v>34572.91</v>
      </c>
      <c r="O6" s="128">
        <f>SUM(N6/D6)</f>
        <v/>
      </c>
      <c r="P6" s="247" t="n">
        <v>0</v>
      </c>
      <c r="Q6" s="128">
        <f>SUM(P6/D6)</f>
        <v/>
      </c>
      <c r="R6" s="129" t="n">
        <v>6349</v>
      </c>
      <c r="S6" s="26" t="n"/>
    </row>
    <row r="7" ht="15.6" customHeight="1">
      <c r="A7" s="409" t="inlineStr">
        <is>
          <t>Melrose Arch</t>
        </is>
      </c>
      <c r="B7" s="200">
        <f>'28 Dec 2020 - 3 Jan 2021'!D7</f>
        <v/>
      </c>
      <c r="C7" s="73" t="n">
        <v>198130.76</v>
      </c>
      <c r="D7" s="145" t="n">
        <v>83309.19</v>
      </c>
      <c r="E7" s="130" t="n">
        <v>130880.25</v>
      </c>
      <c r="F7" s="163">
        <f>IFERROR((SUM(D7-C7)/C7),0)</f>
        <v/>
      </c>
      <c r="G7" s="155">
        <f>IFERROR((SUM(D7-B7)/B7),0)</f>
        <v/>
      </c>
      <c r="H7" s="150" t="n">
        <v>320</v>
      </c>
      <c r="I7" s="63">
        <f>IFERROR(D7/H7,0)</f>
        <v/>
      </c>
      <c r="J7" s="61" t="n">
        <v>48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</f>
        <v/>
      </c>
      <c r="M7" s="172">
        <f>IFERROR(L7/SUM(H7),0)</f>
        <v/>
      </c>
      <c r="N7" s="247" t="n">
        <v>16834.78</v>
      </c>
      <c r="O7" s="89">
        <f>SUM(N7/D7)</f>
        <v/>
      </c>
      <c r="P7" s="247" t="n">
        <v>8622.610000000001</v>
      </c>
      <c r="Q7" s="89">
        <f>SUM(P7/D7)</f>
        <v/>
      </c>
      <c r="R7" s="130" t="n">
        <v>4694.6</v>
      </c>
      <c r="S7" s="26" t="n"/>
    </row>
    <row r="8" ht="15.6" customHeight="1">
      <c r="A8" s="409" t="inlineStr">
        <is>
          <t>Melville</t>
        </is>
      </c>
      <c r="B8" s="200">
        <f>'28 Dec 2020 - 3 Jan 2021'!D8</f>
        <v/>
      </c>
      <c r="C8" s="73" t="n">
        <v>81968.13</v>
      </c>
      <c r="D8" s="145" t="n">
        <v>52090.83</v>
      </c>
      <c r="E8" s="130" t="n">
        <v>69043.50999999999</v>
      </c>
      <c r="F8" s="163">
        <f>IFERROR((SUM(D8-C8)/C8),0)</f>
        <v/>
      </c>
      <c r="G8" s="155">
        <f>IFERROR((SUM(D8-B8)/B8),0)</f>
        <v/>
      </c>
      <c r="H8" s="150" t="n">
        <v>248</v>
      </c>
      <c r="I8" s="63">
        <f>IFERROR(D8/H8,0)</f>
        <v/>
      </c>
      <c r="J8" s="61" t="n">
        <v>22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</f>
        <v/>
      </c>
      <c r="M8" s="172">
        <f>IFERROR(L8/SUM(H8),0)</f>
        <v/>
      </c>
      <c r="N8" s="247" t="n">
        <v>25218.85</v>
      </c>
      <c r="O8" s="89">
        <f>SUM(N8/D8)</f>
        <v/>
      </c>
      <c r="P8" s="247" t="n">
        <v>8961.09</v>
      </c>
      <c r="Q8" s="89">
        <f>SUM(P8/D8)</f>
        <v/>
      </c>
      <c r="R8" s="130" t="n">
        <v>1591</v>
      </c>
      <c r="S8" s="26" t="n"/>
    </row>
    <row r="9" ht="15.6" customHeight="1">
      <c r="A9" s="409" t="inlineStr">
        <is>
          <t>Rosebank</t>
        </is>
      </c>
      <c r="B9" s="200">
        <f>'28 Dec 2020 - 3 Jan 2021'!D9</f>
        <v/>
      </c>
      <c r="C9" s="73" t="n">
        <v>287972.86</v>
      </c>
      <c r="D9" s="145" t="n">
        <v>114208.02</v>
      </c>
      <c r="E9" s="130" t="n">
        <v>173168.34</v>
      </c>
      <c r="F9" s="163">
        <f>IFERROR((SUM(D9-C9)/C9),0)</f>
        <v/>
      </c>
      <c r="G9" s="155">
        <f>IFERROR((SUM(D9-B9)/B9),0)</f>
        <v/>
      </c>
      <c r="H9" s="150" t="n">
        <v>498</v>
      </c>
      <c r="I9" s="63">
        <f>IFERROR(D9/H9,0)</f>
        <v/>
      </c>
      <c r="J9" s="61" t="n">
        <v>45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</f>
        <v/>
      </c>
      <c r="M9" s="172">
        <f>IFERROR(L9/SUM(H9),0)</f>
        <v/>
      </c>
      <c r="N9" s="247" t="n">
        <v>19531.96</v>
      </c>
      <c r="O9" s="89">
        <f>SUM(N9/D9)</f>
        <v/>
      </c>
      <c r="P9" s="247" t="n">
        <v>7015.35</v>
      </c>
      <c r="Q9" s="89">
        <f>SUM(P9/D9)</f>
        <v/>
      </c>
      <c r="R9" s="130" t="n">
        <v>5903</v>
      </c>
      <c r="S9" s="26" t="n"/>
    </row>
    <row r="10" ht="15.6" customHeight="1">
      <c r="A10" s="411" t="inlineStr">
        <is>
          <t xml:space="preserve">Waterkloof </t>
        </is>
      </c>
      <c r="B10" s="200">
        <f>'28 Dec 2020 - 3 Jan 2021'!D10</f>
        <v/>
      </c>
      <c r="C10" s="73" t="n">
        <v>132580.56</v>
      </c>
      <c r="D10" s="145" t="n">
        <v>81183.02</v>
      </c>
      <c r="E10" s="130" t="n">
        <v>107774.41</v>
      </c>
      <c r="F10" s="163">
        <f>IFERROR((SUM(D10-C10)/C10),0)</f>
        <v/>
      </c>
      <c r="G10" s="155">
        <f>IFERROR((SUM(D10-B10)/B10),0)</f>
        <v/>
      </c>
      <c r="H10" s="150" t="n">
        <v>312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</f>
        <v/>
      </c>
      <c r="M10" s="172">
        <f>IFERROR(L10/SUM(H10),0)</f>
        <v/>
      </c>
      <c r="N10" s="247" t="n">
        <v>30164.87</v>
      </c>
      <c r="O10" s="89">
        <f>SUM(N10/D10)</f>
        <v/>
      </c>
      <c r="P10" s="247" t="n">
        <v>15430.39</v>
      </c>
      <c r="Q10" s="89">
        <f>SUM(P10/D10)</f>
        <v/>
      </c>
      <c r="R10" s="130" t="n">
        <v>3596.5</v>
      </c>
      <c r="S10" s="26" t="n"/>
    </row>
    <row r="11" ht="15.6" customHeight="1">
      <c r="A11" s="409" t="inlineStr">
        <is>
          <t>Eagles Landing</t>
        </is>
      </c>
      <c r="B11" s="200">
        <f>'28 Dec 2020 - 3 Jan 2021'!D11</f>
        <v/>
      </c>
      <c r="C11" s="73" t="n">
        <v>330215.89</v>
      </c>
      <c r="D11" s="145" t="n">
        <v>157522.23</v>
      </c>
      <c r="E11" s="130" t="n">
        <v>202165.85</v>
      </c>
      <c r="F11" s="163">
        <f>IFERROR((SUM(D11-C11)/C11),0)</f>
        <v/>
      </c>
      <c r="G11" s="155">
        <f>IFERROR((SUM(D11-B11)/B11),0)</f>
        <v/>
      </c>
      <c r="H11" s="150" t="n">
        <v>693</v>
      </c>
      <c r="I11" s="63">
        <f>IFERROR(D11/H11,0)</f>
        <v/>
      </c>
      <c r="J11" s="61" t="n">
        <v>60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</f>
        <v/>
      </c>
      <c r="M11" s="172">
        <f>IFERROR(L11/SUM(H11),0)</f>
        <v/>
      </c>
      <c r="N11" s="247" t="n">
        <v>39472.65</v>
      </c>
      <c r="O11" s="89">
        <f>SUM(N11/D11)</f>
        <v/>
      </c>
      <c r="P11" s="247" t="n">
        <v>23384.35</v>
      </c>
      <c r="Q11" s="89">
        <f>SUM(P11/D11)</f>
        <v/>
      </c>
      <c r="R11" s="130" t="n">
        <v>6522.3</v>
      </c>
      <c r="S11" s="26" t="n"/>
    </row>
    <row r="12" ht="15.6" customHeight="1">
      <c r="A12" s="198" t="inlineStr">
        <is>
          <t>Stellenbosch</t>
        </is>
      </c>
      <c r="B12" s="200">
        <f>'28 Dec 2020 - 3 Jan 2021'!D12</f>
        <v/>
      </c>
      <c r="C12" s="73" t="n">
        <v>132864.84</v>
      </c>
      <c r="D12" s="145" t="n">
        <v>67869.49000000001</v>
      </c>
      <c r="E12" s="130" t="n">
        <v>106136.48</v>
      </c>
      <c r="F12" s="163">
        <f>IFERROR((SUM(D12-C12)/C12),0)</f>
        <v/>
      </c>
      <c r="G12" s="155">
        <f>IFERROR((SUM(D12-B12)/B12),0)</f>
        <v/>
      </c>
      <c r="H12" s="150" t="n">
        <v>300</v>
      </c>
      <c r="I12" s="63">
        <f>IFERROR(D12/H12,0)</f>
        <v/>
      </c>
      <c r="J12" s="61" t="n">
        <v>19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</f>
        <v/>
      </c>
      <c r="M12" s="172">
        <f>IFERROR(L12/SUM(H12),0)</f>
        <v/>
      </c>
      <c r="N12" s="247" t="n">
        <v>27423.3</v>
      </c>
      <c r="O12" s="89">
        <f>SUM(N12/D12)</f>
        <v/>
      </c>
      <c r="P12" s="247" t="n">
        <v>2972.65</v>
      </c>
      <c r="Q12" s="89">
        <f>SUM(P12/D12)</f>
        <v/>
      </c>
      <c r="R12" s="130" t="n">
        <v>6302.5</v>
      </c>
      <c r="S12" s="26" t="n"/>
    </row>
    <row r="13" ht="15.6" customHeight="1">
      <c r="A13" s="198" t="inlineStr">
        <is>
          <t>Lynnwood</t>
        </is>
      </c>
      <c r="B13" s="200">
        <f>'28 Dec 2020 - 3 Jan 2021'!D13</f>
        <v/>
      </c>
      <c r="C13" s="73" t="n">
        <v>219689.71</v>
      </c>
      <c r="D13" s="145" t="n">
        <v>111534.91</v>
      </c>
      <c r="E13" s="130" t="n">
        <v>160396.91</v>
      </c>
      <c r="F13" s="163">
        <f>IFERROR((SUM(D13-C13)/C13),0)</f>
        <v/>
      </c>
      <c r="G13" s="155">
        <f>IFERROR((SUM(D13-B13)/B13),0)</f>
        <v/>
      </c>
      <c r="H13" s="150" t="n">
        <v>493</v>
      </c>
      <c r="I13" s="63">
        <f>IFERROR(D13/H13,0)</f>
        <v/>
      </c>
      <c r="J13" s="61" t="n">
        <v>53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</f>
        <v/>
      </c>
      <c r="M13" s="172">
        <f>IFERROR(L13/SUM(H13),0)</f>
        <v/>
      </c>
      <c r="N13" s="247" t="n">
        <v>30107.96</v>
      </c>
      <c r="O13" s="89">
        <f>SUM(N13/D13)</f>
        <v/>
      </c>
      <c r="P13" s="247" t="n">
        <v>17747.59</v>
      </c>
      <c r="Q13" s="89">
        <f>SUM(P13/D13)</f>
        <v/>
      </c>
      <c r="R13" s="130" t="n">
        <v>3297</v>
      </c>
      <c r="S13" s="26" t="n"/>
    </row>
    <row r="14" hidden="1" ht="15.6" customHeight="1">
      <c r="A14" s="198" t="inlineStr">
        <is>
          <t>Wellington</t>
        </is>
      </c>
      <c r="B14" s="200">
        <f>'28 Dec 2020 - 3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'28 Dec 2020 - 3 Jan 2021'!D15</f>
        <v/>
      </c>
      <c r="C15" s="73" t="n">
        <v>440887.85</v>
      </c>
      <c r="D15" s="145" t="n">
        <v>285822.7</v>
      </c>
      <c r="E15" s="130" t="n">
        <v>524617.0699999999</v>
      </c>
      <c r="F15" s="163">
        <f>IFERROR((SUM(D15-C15)/C15),0)</f>
        <v/>
      </c>
      <c r="G15" s="155">
        <f>IFERROR((SUM(D15-B15)/B15),0)</f>
        <v/>
      </c>
      <c r="H15" s="150" t="n">
        <v>943</v>
      </c>
      <c r="I15" s="63">
        <f>IFERROR(D15/H15,0)</f>
        <v/>
      </c>
      <c r="J15" s="61" t="n">
        <v>107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54798.17</v>
      </c>
      <c r="Q15" s="89">
        <f>SUM(P15/D15)</f>
        <v/>
      </c>
      <c r="R15" s="130" t="n">
        <v>3018.37</v>
      </c>
      <c r="S15" s="9" t="n"/>
    </row>
    <row r="16" ht="15.6" customHeight="1">
      <c r="A16" s="198" t="inlineStr">
        <is>
          <t>Kyalami Corner</t>
        </is>
      </c>
      <c r="B16" s="200">
        <f>'28 Dec 2020 - 3 Jan 2021'!D16</f>
        <v/>
      </c>
      <c r="C16" s="73" t="n">
        <v>115805.88</v>
      </c>
      <c r="D16" s="145" t="n">
        <v>67752.66</v>
      </c>
      <c r="E16" s="130" t="n">
        <v>96862.08</v>
      </c>
      <c r="F16" s="163">
        <f>IFERROR((SUM(D16-C16)/C16),0)</f>
        <v/>
      </c>
      <c r="G16" s="155">
        <f>IFERROR((SUM(D16-B16)/B16),0)</f>
        <v/>
      </c>
      <c r="H16" s="150" t="n">
        <v>299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</f>
        <v/>
      </c>
      <c r="M16" s="172">
        <f>IFERROR(L16/SUM(H16),0)</f>
        <v/>
      </c>
      <c r="N16" s="247" t="n">
        <v>21486.6</v>
      </c>
      <c r="O16" s="89">
        <f>SUM(N16/D16)</f>
        <v/>
      </c>
      <c r="P16" s="247" t="n">
        <v>15425.87</v>
      </c>
      <c r="Q16" s="89">
        <f>SUM(P16/D16)</f>
        <v/>
      </c>
      <c r="R16" s="130" t="n">
        <v>4525</v>
      </c>
      <c r="S16" s="9" t="n"/>
      <c r="V16" s="238" t="n"/>
    </row>
    <row r="17" ht="15.6" customHeight="1">
      <c r="A17" s="251" t="inlineStr">
        <is>
          <t>Paulshof</t>
        </is>
      </c>
      <c r="B17" s="200">
        <f>'28 Dec 2020 - 3 Jan 2021'!D17</f>
        <v/>
      </c>
      <c r="C17" s="73" t="n">
        <v>208806.41</v>
      </c>
      <c r="D17" s="145" t="n">
        <v>89115.75</v>
      </c>
      <c r="E17" s="130" t="n">
        <v>127427.54</v>
      </c>
      <c r="F17" s="163">
        <f>IFERROR((SUM(D17-C17)/C17),0)</f>
        <v/>
      </c>
      <c r="G17" s="155">
        <f>IFERROR((SUM(D17-B17)/B17),0)</f>
        <v/>
      </c>
      <c r="H17" s="150" t="n">
        <v>410</v>
      </c>
      <c r="I17" s="63">
        <f>IFERROR(D17/H17,0)</f>
        <v/>
      </c>
      <c r="J17" s="61" t="n">
        <v>34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</f>
        <v/>
      </c>
      <c r="M17" s="172">
        <f>IFERROR(L17/SUM(H17),0)</f>
        <v/>
      </c>
      <c r="N17" s="247" t="n">
        <v>32115.63</v>
      </c>
      <c r="O17" s="89">
        <f>SUM(N17/D17)</f>
        <v/>
      </c>
      <c r="P17" s="247" t="n">
        <v>7480.91</v>
      </c>
      <c r="Q17" s="89">
        <f>SUM(P17/D17)</f>
        <v/>
      </c>
      <c r="R17" s="130" t="n">
        <v>3558</v>
      </c>
      <c r="S17" s="9" t="n"/>
    </row>
    <row r="18" ht="15.6" customHeight="1">
      <c r="A18" s="198" t="inlineStr">
        <is>
          <t>Queenswood</t>
        </is>
      </c>
      <c r="B18" s="200">
        <f>'28 Dec 2020 - 3 Jan 2021'!D18</f>
        <v/>
      </c>
      <c r="C18" s="73" t="n">
        <v>176711.97</v>
      </c>
      <c r="D18" s="145" t="n">
        <v>96251.57000000001</v>
      </c>
      <c r="E18" s="130" t="n">
        <v>143473.94</v>
      </c>
      <c r="F18" s="163">
        <f>IFERROR((SUM(D18-C18)/C18),0)</f>
        <v/>
      </c>
      <c r="G18" s="155">
        <f>IFERROR((SUM(D18-B18)/B18),0)</f>
        <v/>
      </c>
      <c r="H18" s="150" t="n">
        <v>411</v>
      </c>
      <c r="I18" s="258">
        <f>IFERROR(D18/H18,0)</f>
        <v/>
      </c>
      <c r="J18" s="61" t="n">
        <v>40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</f>
        <v/>
      </c>
      <c r="M18" s="172">
        <f>IFERROR(L18/SUM(H18),0)</f>
        <v/>
      </c>
      <c r="N18" s="247" t="n">
        <v>21513.13</v>
      </c>
      <c r="O18" s="89">
        <f>SUM(N18/D18)</f>
        <v/>
      </c>
      <c r="P18" s="247" t="n">
        <v>11645.96</v>
      </c>
      <c r="Q18" s="89">
        <f>SUM(P18/D18)</f>
        <v/>
      </c>
      <c r="R18" s="130" t="n">
        <v>4226.3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'4 - 10 Jan 2021'!D6</f>
        <v/>
      </c>
      <c r="C6" s="255" t="n">
        <v>249678.67</v>
      </c>
      <c r="D6" s="197" t="n">
        <v>102020.09</v>
      </c>
      <c r="E6" s="254" t="n">
        <v>272917.51</v>
      </c>
      <c r="F6" s="162">
        <f>IFERROR((SUM(D6-C6)/C6),0)</f>
        <v/>
      </c>
      <c r="G6" s="154">
        <f>IFERROR((SUM(D6-B6)/B6),0)</f>
        <v/>
      </c>
      <c r="H6" s="149" t="n">
        <v>417</v>
      </c>
      <c r="I6" s="256">
        <f>IFERROR(D6/H6,0)</f>
        <v/>
      </c>
      <c r="J6" s="125" t="n">
        <v>42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</f>
        <v/>
      </c>
      <c r="M6" s="171">
        <f>IFERROR(L6/SUM(H6),0)</f>
        <v/>
      </c>
      <c r="N6" s="246" t="n">
        <v>21694.61</v>
      </c>
      <c r="O6" s="128">
        <f>SUM(N6/D6)</f>
        <v/>
      </c>
      <c r="P6" s="247" t="n">
        <v>413.04</v>
      </c>
      <c r="Q6" s="128">
        <f>SUM(P6/D6)</f>
        <v/>
      </c>
      <c r="R6" s="129" t="n">
        <v>5496.5</v>
      </c>
      <c r="S6" s="26" t="n"/>
    </row>
    <row r="7" ht="15.6" customHeight="1">
      <c r="A7" s="409" t="inlineStr">
        <is>
          <t>Melrose Arch</t>
        </is>
      </c>
      <c r="B7" s="200">
        <f>'4 - 10 Jan 2021'!D7</f>
        <v/>
      </c>
      <c r="C7" s="73" t="n">
        <v>184174.36</v>
      </c>
      <c r="D7" s="145" t="n">
        <v>73159.12</v>
      </c>
      <c r="E7" s="130" t="n">
        <v>204039.37</v>
      </c>
      <c r="F7" s="163">
        <f>IFERROR((SUM(D7-C7)/C7),0)</f>
        <v/>
      </c>
      <c r="G7" s="155">
        <f>IFERROR((SUM(D7-B7)/B7),0)</f>
        <v/>
      </c>
      <c r="H7" s="150" t="n">
        <v>321</v>
      </c>
      <c r="I7" s="63">
        <f>IFERROR(D7/H7,0)</f>
        <v/>
      </c>
      <c r="J7" s="61" t="n">
        <v>42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</f>
        <v/>
      </c>
      <c r="M7" s="172">
        <f>IFERROR(L7/SUM(H7),0)</f>
        <v/>
      </c>
      <c r="N7" s="247" t="n">
        <v>13975.47</v>
      </c>
      <c r="O7" s="89">
        <f>SUM(N7/D7)</f>
        <v/>
      </c>
      <c r="P7" s="247" t="n">
        <v>9578.26</v>
      </c>
      <c r="Q7" s="89">
        <f>SUM(P7/D7)</f>
        <v/>
      </c>
      <c r="R7" s="130" t="n">
        <v>3907.75</v>
      </c>
      <c r="S7" s="26" t="n"/>
    </row>
    <row r="8" ht="15.6" customHeight="1">
      <c r="A8" s="409" t="inlineStr">
        <is>
          <t>Melville</t>
        </is>
      </c>
      <c r="B8" s="200">
        <f>'4 - 10 Jan 2021'!D8</f>
        <v/>
      </c>
      <c r="C8" s="73" t="n">
        <v>92094.41</v>
      </c>
      <c r="D8" s="145" t="n">
        <v>56114.02</v>
      </c>
      <c r="E8" s="130" t="n">
        <v>125157.53</v>
      </c>
      <c r="F8" s="163">
        <f>IFERROR((SUM(D8-C8)/C8),0)</f>
        <v/>
      </c>
      <c r="G8" s="155">
        <f>IFERROR((SUM(D8-B8)/B8),0)</f>
        <v/>
      </c>
      <c r="H8" s="150" t="n">
        <v>266</v>
      </c>
      <c r="I8" s="63">
        <f>IFERROR(D8/H8,0)</f>
        <v/>
      </c>
      <c r="J8" s="61" t="n">
        <v>35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</f>
        <v/>
      </c>
      <c r="M8" s="172">
        <f>IFERROR(L8/SUM(H8),0)</f>
        <v/>
      </c>
      <c r="N8" s="247" t="n">
        <v>23688.7</v>
      </c>
      <c r="O8" s="89">
        <f>SUM(N8/D8)</f>
        <v/>
      </c>
      <c r="P8" s="247" t="n">
        <v>10800.78</v>
      </c>
      <c r="Q8" s="89">
        <f>SUM(P8/D8)</f>
        <v/>
      </c>
      <c r="R8" s="130" t="n">
        <v>2816</v>
      </c>
      <c r="S8" s="26" t="n"/>
    </row>
    <row r="9" ht="15.6" customHeight="1">
      <c r="A9" s="409" t="inlineStr">
        <is>
          <t>Rosebank</t>
        </is>
      </c>
      <c r="B9" s="200">
        <f>'4 - 10 Jan 2021'!D9</f>
        <v/>
      </c>
      <c r="C9" s="73" t="n">
        <v>282534.18</v>
      </c>
      <c r="D9" s="145" t="n">
        <v>108730.35</v>
      </c>
      <c r="E9" s="130" t="n">
        <v>281898.69</v>
      </c>
      <c r="F9" s="163">
        <f>IFERROR((SUM(D9-C9)/C9),0)</f>
        <v/>
      </c>
      <c r="G9" s="155">
        <f>IFERROR((SUM(D9-B9)/B9),0)</f>
        <v/>
      </c>
      <c r="H9" s="150" t="n">
        <v>501</v>
      </c>
      <c r="I9" s="63">
        <f>IFERROR(D9/H9,0)</f>
        <v/>
      </c>
      <c r="J9" s="61" t="n">
        <v>39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</f>
        <v/>
      </c>
      <c r="M9" s="172">
        <f>IFERROR(L9/SUM(H9),0)</f>
        <v/>
      </c>
      <c r="N9" s="247" t="n">
        <v>18826.19</v>
      </c>
      <c r="O9" s="89">
        <f>SUM(N9/D9)</f>
        <v/>
      </c>
      <c r="P9" s="247" t="n">
        <v>6818.87</v>
      </c>
      <c r="Q9" s="89">
        <f>SUM(P9/D9)</f>
        <v/>
      </c>
      <c r="R9" s="130" t="n">
        <v>5014</v>
      </c>
      <c r="S9" s="26" t="n"/>
    </row>
    <row r="10" ht="15.6" customHeight="1">
      <c r="A10" s="411" t="inlineStr">
        <is>
          <t xml:space="preserve">Waterkloof </t>
        </is>
      </c>
      <c r="B10" s="200">
        <f>'4 - 10 Jan 2021'!D10</f>
        <v/>
      </c>
      <c r="C10" s="73" t="n">
        <v>160577.06</v>
      </c>
      <c r="D10" s="145" t="n">
        <v>77116.8</v>
      </c>
      <c r="E10" s="130" t="n">
        <v>184891.21</v>
      </c>
      <c r="F10" s="163">
        <f>IFERROR((SUM(D10-C10)/C10),0)</f>
        <v/>
      </c>
      <c r="G10" s="155">
        <f>IFERROR((SUM(D10-B10)/B10),0)</f>
        <v/>
      </c>
      <c r="H10" s="150" t="n">
        <v>329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</f>
        <v/>
      </c>
      <c r="M10" s="172">
        <f>IFERROR(L10/SUM(H10),0)</f>
        <v/>
      </c>
      <c r="N10" s="247" t="n">
        <v>25050.77</v>
      </c>
      <c r="O10" s="89">
        <f>SUM(N10/D10)</f>
        <v/>
      </c>
      <c r="P10" s="247" t="n">
        <v>17650.65</v>
      </c>
      <c r="Q10" s="89">
        <f>SUM(P10/D10)</f>
        <v/>
      </c>
      <c r="R10" s="130" t="n">
        <v>5419.5</v>
      </c>
      <c r="S10" s="26" t="n"/>
    </row>
    <row r="11" ht="15.6" customHeight="1">
      <c r="A11" s="409" t="inlineStr">
        <is>
          <t>Eagles Landing</t>
        </is>
      </c>
      <c r="B11" s="200">
        <f>'4 - 10 Jan 2021'!D11</f>
        <v/>
      </c>
      <c r="C11" s="73" t="n">
        <v>287900.99</v>
      </c>
      <c r="D11" s="145" t="n">
        <v>157715.56</v>
      </c>
      <c r="E11" s="130" t="n">
        <v>359881.41</v>
      </c>
      <c r="F11" s="163">
        <f>IFERROR((SUM(D11-C11)/C11),0)</f>
        <v/>
      </c>
      <c r="G11" s="155">
        <f>IFERROR((SUM(D11-B11)/B11),0)</f>
        <v/>
      </c>
      <c r="H11" s="150" t="n">
        <v>710</v>
      </c>
      <c r="I11" s="63">
        <f>IFERROR(D11/H11,0)</f>
        <v/>
      </c>
      <c r="J11" s="61" t="n">
        <v>64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</f>
        <v/>
      </c>
      <c r="M11" s="172">
        <f>IFERROR(L11/SUM(H11),0)</f>
        <v/>
      </c>
      <c r="N11" s="247" t="n">
        <v>38689.09</v>
      </c>
      <c r="O11" s="89">
        <f>SUM(N11/D11)</f>
        <v/>
      </c>
      <c r="P11" s="247" t="n">
        <v>23986.09</v>
      </c>
      <c r="Q11" s="89">
        <f>SUM(P11/D11)</f>
        <v/>
      </c>
      <c r="R11" s="130" t="n">
        <v>8462.9</v>
      </c>
      <c r="S11" s="26" t="n"/>
    </row>
    <row r="12" ht="15.6" customHeight="1">
      <c r="A12" s="198" t="inlineStr">
        <is>
          <t>Stellenbosch</t>
        </is>
      </c>
      <c r="B12" s="200">
        <f>'4 - 10 Jan 2021'!D12</f>
        <v/>
      </c>
      <c r="C12" s="73" t="n">
        <v>167794.96</v>
      </c>
      <c r="D12" s="145" t="n">
        <v>55044.09</v>
      </c>
      <c r="E12" s="130" t="n">
        <v>161180.57</v>
      </c>
      <c r="F12" s="163">
        <f>IFERROR((SUM(D12-C12)/C12),0)</f>
        <v/>
      </c>
      <c r="G12" s="155">
        <f>IFERROR((SUM(D12-B12)/B12),0)</f>
        <v/>
      </c>
      <c r="H12" s="150" t="n">
        <v>254</v>
      </c>
      <c r="I12" s="63">
        <f>IFERROR(D12/H12,0)</f>
        <v/>
      </c>
      <c r="J12" s="61" t="n">
        <v>16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</f>
        <v/>
      </c>
      <c r="M12" s="172">
        <f>IFERROR(L12/SUM(H12),0)</f>
        <v/>
      </c>
      <c r="N12" s="247" t="n">
        <v>18353.7</v>
      </c>
      <c r="O12" s="89">
        <f>SUM(N12/D12)</f>
        <v/>
      </c>
      <c r="P12" s="247" t="n">
        <v>3455.7</v>
      </c>
      <c r="Q12" s="89">
        <f>SUM(P12/D12)</f>
        <v/>
      </c>
      <c r="R12" s="130" t="n">
        <v>4186.3</v>
      </c>
      <c r="S12" s="26" t="n"/>
    </row>
    <row r="13" ht="15.6" customHeight="1">
      <c r="A13" s="198" t="inlineStr">
        <is>
          <t>Lynnwood</t>
        </is>
      </c>
      <c r="B13" s="200">
        <f>'4 - 10 Jan 2021'!D13</f>
        <v/>
      </c>
      <c r="C13" s="73" t="n">
        <v>173601.74</v>
      </c>
      <c r="D13" s="145" t="n">
        <v>118995.01</v>
      </c>
      <c r="E13" s="130" t="n">
        <v>279391.92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</f>
        <v/>
      </c>
      <c r="M13" s="172">
        <f>IFERROR(L13/SUM(H13),0)</f>
        <v/>
      </c>
      <c r="N13" s="247" t="n">
        <v>27790.83</v>
      </c>
      <c r="O13" s="89">
        <f>SUM(N13/D13)</f>
        <v/>
      </c>
      <c r="P13" s="247" t="n">
        <v>24173.67</v>
      </c>
      <c r="Q13" s="89">
        <f>SUM(P13/D13)</f>
        <v/>
      </c>
      <c r="R13" s="130" t="n">
        <v>2083</v>
      </c>
      <c r="S13" s="26" t="n"/>
    </row>
    <row r="14" hidden="1" ht="15.6" customHeight="1">
      <c r="A14" s="198" t="inlineStr">
        <is>
          <t>Wellington</t>
        </is>
      </c>
      <c r="B14" s="200">
        <f>'4 - 10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'4 - 10 Jan 2021'!D15</f>
        <v/>
      </c>
      <c r="C15" s="73" t="n">
        <v>187166.99</v>
      </c>
      <c r="D15" s="145" t="n">
        <v>138069.18</v>
      </c>
      <c r="E15" s="130" t="n">
        <v>662685.25</v>
      </c>
      <c r="F15" s="163">
        <f>IFERROR((SUM(D15-C15)/C15),0)</f>
        <v/>
      </c>
      <c r="G15" s="155">
        <f>IFERROR((SUM(D15-B15)/B15),0)</f>
        <v/>
      </c>
      <c r="H15" s="150" t="n">
        <v>488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24923.65</v>
      </c>
      <c r="Q15" s="89">
        <f>SUM(P15/D15)</f>
        <v/>
      </c>
      <c r="R15" s="130" t="n">
        <v>3015.95</v>
      </c>
      <c r="S15" s="9" t="n"/>
    </row>
    <row r="16" ht="15.6" customHeight="1">
      <c r="A16" s="198" t="inlineStr">
        <is>
          <t>Kyalami Corner</t>
        </is>
      </c>
      <c r="B16" s="200">
        <f>'4 - 10 Jan 2021'!D16</f>
        <v/>
      </c>
      <c r="C16" s="73" t="n">
        <v>114412.28</v>
      </c>
      <c r="D16" s="145" t="n">
        <v>60443.66</v>
      </c>
      <c r="E16" s="130" t="n">
        <v>157305.74</v>
      </c>
      <c r="F16" s="163">
        <f>IFERROR((SUM(D16-C16)/C16),0)</f>
        <v/>
      </c>
      <c r="G16" s="155">
        <f>IFERROR((SUM(D16-B16)/B16),0)</f>
        <v/>
      </c>
      <c r="H16" s="150" t="n">
        <v>279</v>
      </c>
      <c r="I16" s="63">
        <f>IFERROR(D16/H16,0)</f>
        <v/>
      </c>
      <c r="J16" s="61" t="n">
        <v>48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</f>
        <v/>
      </c>
      <c r="M16" s="172">
        <f>IFERROR(L16/SUM(H16),0)</f>
        <v/>
      </c>
      <c r="N16" s="247" t="n">
        <v>16111.51</v>
      </c>
      <c r="O16" s="89">
        <f>SUM(N16/D16)</f>
        <v/>
      </c>
      <c r="P16" s="247" t="n">
        <v>12652.17</v>
      </c>
      <c r="Q16" s="89">
        <f>SUM(P16/D16)</f>
        <v/>
      </c>
      <c r="R16" s="130" t="n">
        <v>4105.5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'4 - 10 Jan 2021'!D17</f>
        <v/>
      </c>
      <c r="C17" s="73" t="n">
        <v>173816.25</v>
      </c>
      <c r="D17" s="145" t="n">
        <v>83735.3</v>
      </c>
      <c r="E17" s="130" t="n">
        <v>211162.84</v>
      </c>
      <c r="F17" s="163">
        <f>IFERROR((SUM(D17-C17)/C17),0)</f>
        <v/>
      </c>
      <c r="G17" s="155">
        <f>IFERROR((SUM(D17-B17)/B17),0)</f>
        <v/>
      </c>
      <c r="H17" s="150" t="n">
        <v>392</v>
      </c>
      <c r="I17" s="63">
        <f>IFERROR(D17/H17,0)</f>
        <v/>
      </c>
      <c r="J17" s="61" t="n">
        <v>35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</f>
        <v/>
      </c>
      <c r="M17" s="172">
        <f>IFERROR(L17/SUM(H17),0)</f>
        <v/>
      </c>
      <c r="N17" s="247" t="n">
        <v>32377.74</v>
      </c>
      <c r="O17" s="89">
        <f>SUM(N17/D17)</f>
        <v/>
      </c>
      <c r="P17" s="247" t="n">
        <v>7788.04</v>
      </c>
      <c r="Q17" s="89">
        <f>SUM(P17/D17)</f>
        <v/>
      </c>
      <c r="R17" s="130" t="n">
        <v>1053.4</v>
      </c>
      <c r="S17" s="9" t="n"/>
    </row>
    <row r="18" ht="15.6" customHeight="1">
      <c r="A18" s="198" t="inlineStr">
        <is>
          <t>Queenswood</t>
        </is>
      </c>
      <c r="B18" s="200">
        <f>'4 - 10 Jan 2021'!D18</f>
        <v/>
      </c>
      <c r="C18" s="73" t="n">
        <v>172665.54</v>
      </c>
      <c r="D18" s="145" t="n">
        <v>106413.03</v>
      </c>
      <c r="E18" s="130" t="n">
        <v>249886.97</v>
      </c>
      <c r="F18" s="163">
        <f>IFERROR((SUM(D18-C18)/C18),0)</f>
        <v/>
      </c>
      <c r="G18" s="155">
        <f>IFERROR((SUM(D18-B18)/B18),0)</f>
        <v/>
      </c>
      <c r="H18" s="150" t="n">
        <v>459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</f>
        <v/>
      </c>
      <c r="M18" s="172">
        <f>IFERROR(L18/SUM(H18),0)</f>
        <v/>
      </c>
      <c r="N18" s="247" t="n">
        <v>32378.09</v>
      </c>
      <c r="O18" s="89">
        <f>SUM(N18/D18)</f>
        <v/>
      </c>
      <c r="P18" s="247" t="n">
        <v>10955.41</v>
      </c>
      <c r="Q18" s="89">
        <f>SUM(P18/D18)</f>
        <v/>
      </c>
      <c r="R18" s="130" t="n">
        <v>3923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'11 - 17 Jan 2021'!D6</f>
        <v/>
      </c>
      <c r="C6" s="255" t="n">
        <v>244971.94</v>
      </c>
      <c r="D6" s="197" t="n">
        <v>112369.07</v>
      </c>
      <c r="E6" s="254" t="n">
        <v>385286.58</v>
      </c>
      <c r="F6" s="162">
        <f>IFERROR((SUM(D6-C6)/C6),0)</f>
        <v/>
      </c>
      <c r="G6" s="154">
        <f>IFERROR((SUM(D6-B6)/B6),0)</f>
        <v/>
      </c>
      <c r="H6" s="149" t="n">
        <v>442</v>
      </c>
      <c r="I6" s="256">
        <f>IFERROR(D6/H6,0)</f>
        <v/>
      </c>
      <c r="J6" s="125" t="n">
        <v>48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/>
      </c>
      <c r="M6" s="171">
        <f>IFERROR(L6/SUM(H6),0)</f>
        <v/>
      </c>
      <c r="N6" s="246" t="n">
        <v>30342.22</v>
      </c>
      <c r="O6" s="128">
        <f>SUM(N6/D6)</f>
        <v/>
      </c>
      <c r="P6" s="247" t="n">
        <v>1753.43</v>
      </c>
      <c r="Q6" s="128">
        <f>SUM(P6/D6)</f>
        <v/>
      </c>
      <c r="R6" s="129" t="n">
        <v>4845.5</v>
      </c>
      <c r="S6" s="26" t="n"/>
    </row>
    <row r="7" ht="15.6" customHeight="1">
      <c r="A7" s="409" t="inlineStr">
        <is>
          <t>Melrose Arch</t>
        </is>
      </c>
      <c r="B7" s="200">
        <f>'11 - 17 Jan 2021'!D7</f>
        <v/>
      </c>
      <c r="C7" s="73" t="n">
        <v>212211.86</v>
      </c>
      <c r="D7" s="145" t="n">
        <v>76215.50999999999</v>
      </c>
      <c r="E7" s="130" t="n">
        <v>280254.88</v>
      </c>
      <c r="F7" s="163">
        <f>IFERROR((SUM(D7-C7)/C7),0)</f>
        <v/>
      </c>
      <c r="G7" s="155">
        <f>IFERROR((SUM(D7-B7)/B7),0)</f>
        <v/>
      </c>
      <c r="H7" s="150" t="n">
        <v>338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/>
      </c>
      <c r="M7" s="172">
        <f>IFERROR(L7/SUM(H7),0)</f>
        <v/>
      </c>
      <c r="N7" s="247" t="n">
        <v>17479.7</v>
      </c>
      <c r="O7" s="89">
        <f>SUM(N7/D7)</f>
        <v/>
      </c>
      <c r="P7" s="247" t="n">
        <v>14073.22</v>
      </c>
      <c r="Q7" s="89">
        <f>SUM(P7/D7)</f>
        <v/>
      </c>
      <c r="R7" s="130" t="n">
        <v>3991.95</v>
      </c>
      <c r="S7" s="26" t="n"/>
    </row>
    <row r="8" ht="15.6" customHeight="1">
      <c r="A8" s="409" t="inlineStr">
        <is>
          <t>Melville</t>
        </is>
      </c>
      <c r="B8" s="200">
        <f>'11 - 17 Jan 2021'!D8</f>
        <v/>
      </c>
      <c r="C8" s="73" t="n">
        <v>104090</v>
      </c>
      <c r="D8" s="145" t="n">
        <v>47315.59</v>
      </c>
      <c r="E8" s="130" t="n">
        <v>172473.12</v>
      </c>
      <c r="F8" s="163">
        <f>IFERROR((SUM(D8-C8)/C8),0)</f>
        <v/>
      </c>
      <c r="G8" s="155">
        <f>IFERROR((SUM(D8-B8)/B8),0)</f>
        <v/>
      </c>
      <c r="H8" s="150" t="n">
        <v>233</v>
      </c>
      <c r="I8" s="63">
        <f>IFERROR(D8/H8,0)</f>
        <v/>
      </c>
      <c r="J8" s="61" t="n">
        <v>32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/>
      </c>
      <c r="M8" s="172">
        <f>IFERROR(L8/SUM(H8),0)</f>
        <v/>
      </c>
      <c r="N8" s="247" t="n">
        <v>23240.92</v>
      </c>
      <c r="O8" s="89">
        <f>SUM(N8/D8)</f>
        <v/>
      </c>
      <c r="P8" s="247" t="n">
        <v>10088.96</v>
      </c>
      <c r="Q8" s="89">
        <f>SUM(P8/D8)</f>
        <v/>
      </c>
      <c r="R8" s="130" t="n">
        <v>3113</v>
      </c>
      <c r="S8" s="26" t="n"/>
    </row>
    <row r="9" ht="15.6" customHeight="1">
      <c r="A9" s="409" t="inlineStr">
        <is>
          <t>Rosebank</t>
        </is>
      </c>
      <c r="B9" s="200">
        <f>'11 - 17 Jan 2021'!D9</f>
        <v/>
      </c>
      <c r="C9" s="73" t="n">
        <v>326457.8</v>
      </c>
      <c r="D9" s="145" t="n">
        <v>100356.98</v>
      </c>
      <c r="E9" s="130" t="n">
        <v>382255.67</v>
      </c>
      <c r="F9" s="163">
        <f>IFERROR((SUM(D9-C9)/C9),0)</f>
        <v/>
      </c>
      <c r="G9" s="155">
        <f>IFERROR((SUM(D9-B9)/B9),0)</f>
        <v/>
      </c>
      <c r="H9" s="150" t="n">
        <v>448</v>
      </c>
      <c r="I9" s="63">
        <f>IFERROR(D9/H9,0)</f>
        <v/>
      </c>
      <c r="J9" s="61" t="n">
        <v>51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/>
      </c>
      <c r="M9" s="172">
        <f>IFERROR(L9/SUM(H9),0)</f>
        <v/>
      </c>
      <c r="N9" s="247" t="n">
        <v>16777.91</v>
      </c>
      <c r="O9" s="89">
        <f>SUM(N9/D9)</f>
        <v/>
      </c>
      <c r="P9" s="247" t="n">
        <v>10431.17</v>
      </c>
      <c r="Q9" s="89">
        <f>SUM(P9/D9)</f>
        <v/>
      </c>
      <c r="R9" s="130" t="n">
        <v>5829</v>
      </c>
      <c r="S9" s="26" t="n"/>
    </row>
    <row r="10" ht="15.6" customHeight="1">
      <c r="A10" s="411" t="inlineStr">
        <is>
          <t xml:space="preserve">Waterkloof </t>
        </is>
      </c>
      <c r="B10" s="200">
        <f>'11 - 17 Jan 2021'!D10</f>
        <v/>
      </c>
      <c r="C10" s="73" t="n">
        <v>168531.62</v>
      </c>
      <c r="D10" s="145" t="n">
        <v>86299.71000000001</v>
      </c>
      <c r="E10" s="130" t="n">
        <v>271190.92</v>
      </c>
      <c r="F10" s="163">
        <f>IFERROR((SUM(D10-C10)/C10),0)</f>
        <v/>
      </c>
      <c r="G10" s="155">
        <f>IFERROR((SUM(D10-B10)/B10),0)</f>
        <v/>
      </c>
      <c r="H10" s="150" t="n">
        <v>352</v>
      </c>
      <c r="I10" s="63">
        <f>IFERROR(D10/H10,0)</f>
        <v/>
      </c>
      <c r="J10" s="61" t="n">
        <v>43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/>
      </c>
      <c r="M10" s="172">
        <f>IFERROR(L10/SUM(H10),0)</f>
        <v/>
      </c>
      <c r="N10" s="247" t="n">
        <v>30393.48</v>
      </c>
      <c r="O10" s="89">
        <f>SUM(N10/D10)</f>
        <v/>
      </c>
      <c r="P10" s="247" t="n">
        <v>24089.9</v>
      </c>
      <c r="Q10" s="89">
        <f>SUM(P10/D10)</f>
        <v/>
      </c>
      <c r="R10" s="130" t="n">
        <v>4789</v>
      </c>
      <c r="S10" s="26" t="n"/>
    </row>
    <row r="11" ht="15.6" customHeight="1">
      <c r="A11" s="409" t="inlineStr">
        <is>
          <t>Eagles Landing</t>
        </is>
      </c>
      <c r="B11" s="200">
        <f>'11 - 17 Jan 2021'!D11</f>
        <v/>
      </c>
      <c r="C11" s="73" t="n">
        <v>291680.29</v>
      </c>
      <c r="D11" s="145" t="n">
        <v>141673.04</v>
      </c>
      <c r="E11" s="130" t="n">
        <v>501554.45</v>
      </c>
      <c r="F11" s="163">
        <f>IFERROR((SUM(D11-C11)/C11),0)</f>
        <v/>
      </c>
      <c r="G11" s="155">
        <f>IFERROR((SUM(D11-B11)/B11),0)</f>
        <v/>
      </c>
      <c r="H11" s="150" t="n">
        <v>658</v>
      </c>
      <c r="I11" s="63">
        <f>IFERROR(D11/H11,0)</f>
        <v/>
      </c>
      <c r="J11" s="61" t="n">
        <v>49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/>
      </c>
      <c r="M11" s="172">
        <f>IFERROR(L11/SUM(H11),0)</f>
        <v/>
      </c>
      <c r="N11" s="247" t="n">
        <v>32562.96</v>
      </c>
      <c r="O11" s="89">
        <f>SUM(N11/D11)</f>
        <v/>
      </c>
      <c r="P11" s="247" t="n">
        <v>20516.52</v>
      </c>
      <c r="Q11" s="89">
        <f>SUM(P11/D11)</f>
        <v/>
      </c>
      <c r="R11" s="130" t="n">
        <v>6432.4</v>
      </c>
      <c r="S11" s="26" t="n"/>
    </row>
    <row r="12" ht="15.6" customHeight="1">
      <c r="A12" s="198" t="inlineStr">
        <is>
          <t>Stellenbosch</t>
        </is>
      </c>
      <c r="B12" s="200">
        <f>'11 - 17 Jan 2021'!D12</f>
        <v/>
      </c>
      <c r="C12" s="73" t="n">
        <v>156281.82</v>
      </c>
      <c r="D12" s="145" t="n">
        <v>71651.85000000001</v>
      </c>
      <c r="E12" s="130" t="n">
        <v>232832.42</v>
      </c>
      <c r="F12" s="163">
        <f>IFERROR((SUM(D12-C12)/C12),0)</f>
        <v/>
      </c>
      <c r="G12" s="155">
        <f>IFERROR((SUM(D12-B12)/B12),0)</f>
        <v/>
      </c>
      <c r="H12" s="150" t="n">
        <v>312</v>
      </c>
      <c r="I12" s="63">
        <f>IFERROR(D12/H12,0)</f>
        <v/>
      </c>
      <c r="J12" s="61" t="n">
        <v>18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/>
      </c>
      <c r="M12" s="172">
        <f>IFERROR(L12/SUM(H12),0)</f>
        <v/>
      </c>
      <c r="N12" s="247" t="n">
        <v>21133.22</v>
      </c>
      <c r="O12" s="89">
        <f>SUM(N12/D12)</f>
        <v/>
      </c>
      <c r="P12" s="247" t="n">
        <v>5984.57</v>
      </c>
      <c r="Q12" s="89">
        <f>SUM(P12/D12)</f>
        <v/>
      </c>
      <c r="R12" s="130" t="n">
        <v>5059.5</v>
      </c>
      <c r="S12" s="26" t="n"/>
    </row>
    <row r="13" ht="15.6" customHeight="1">
      <c r="A13" s="198" t="inlineStr">
        <is>
          <t>Lynnwood</t>
        </is>
      </c>
      <c r="B13" s="200">
        <f>'11 - 17 Jan 2021'!D13</f>
        <v/>
      </c>
      <c r="C13" s="73" t="n">
        <v>195672.15</v>
      </c>
      <c r="D13" s="145" t="n">
        <v>125906.05</v>
      </c>
      <c r="E13" s="130" t="n">
        <v>405297.97</v>
      </c>
      <c r="F13" s="163">
        <f>IFERROR((SUM(D13-C13)/C13),0)</f>
        <v/>
      </c>
      <c r="G13" s="155">
        <f>IFERROR((SUM(D13-B13)/B13),0)</f>
        <v/>
      </c>
      <c r="H13" s="150" t="n">
        <v>532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/>
      </c>
      <c r="M13" s="172">
        <f>IFERROR(L13/SUM(H13),0)</f>
        <v/>
      </c>
      <c r="N13" s="247" t="n">
        <v>38515.65</v>
      </c>
      <c r="O13" s="89">
        <f>SUM(N13/D13)</f>
        <v/>
      </c>
      <c r="P13" s="247" t="n">
        <v>16844.37</v>
      </c>
      <c r="Q13" s="89">
        <f>SUM(P13/D13)</f>
        <v/>
      </c>
      <c r="R13" s="130" t="n">
        <v>2121.5</v>
      </c>
      <c r="S13" s="26" t="n"/>
    </row>
    <row r="14" hidden="1" ht="15.6" customHeight="1">
      <c r="A14" s="198" t="inlineStr">
        <is>
          <t>Wellington</t>
        </is>
      </c>
      <c r="B14" s="200">
        <f>'11 - 17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'11 - 17 Jan 2021'!D15</f>
        <v/>
      </c>
      <c r="C15" s="73" t="n">
        <v>177959.61</v>
      </c>
      <c r="D15" s="145" t="n">
        <v>106853.6</v>
      </c>
      <c r="E15" s="130" t="n">
        <v>769539.85</v>
      </c>
      <c r="F15" s="163">
        <f>IFERROR((SUM(D15-C15)/C15),0)</f>
        <v/>
      </c>
      <c r="G15" s="155">
        <f>IFERROR((SUM(D15-B15)/B15),0)</f>
        <v/>
      </c>
      <c r="H15" s="150" t="n">
        <v>417</v>
      </c>
      <c r="I15" s="63">
        <f>IFERROR(D15/H15,0)</f>
        <v/>
      </c>
      <c r="J15" s="61" t="n">
        <v>31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25961.74</v>
      </c>
      <c r="Q15" s="89">
        <f>SUM(P15/D15)</f>
        <v/>
      </c>
      <c r="R15" s="130" t="n">
        <v>3658.6</v>
      </c>
      <c r="S15" s="9" t="n"/>
    </row>
    <row r="16" ht="15.6" customHeight="1">
      <c r="A16" s="198" t="inlineStr">
        <is>
          <t>Kyalami Corner</t>
        </is>
      </c>
      <c r="B16" s="200">
        <f>'11 - 17 Jan 2021'!D16</f>
        <v/>
      </c>
      <c r="C16" s="73" t="n">
        <v>127667.08</v>
      </c>
      <c r="D16" s="145" t="n">
        <v>62660.29</v>
      </c>
      <c r="E16" s="130" t="n">
        <v>219966.03</v>
      </c>
      <c r="F16" s="163">
        <f>IFERROR((SUM(D16-C16)/C16),0)</f>
        <v/>
      </c>
      <c r="G16" s="155">
        <f>IFERROR((SUM(D16-B16)/B16),0)</f>
        <v/>
      </c>
      <c r="H16" s="150" t="n">
        <v>276</v>
      </c>
      <c r="I16" s="63">
        <f>IFERROR(D16/H16,0)</f>
        <v/>
      </c>
      <c r="J16" s="61" t="n">
        <v>28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/>
      </c>
      <c r="M16" s="172">
        <f>IFERROR(L16/SUM(H16),0)</f>
        <v/>
      </c>
      <c r="N16" s="247" t="n">
        <v>15726.96</v>
      </c>
      <c r="O16" s="89">
        <f>SUM(N16/D16)</f>
        <v/>
      </c>
      <c r="P16" s="247" t="n">
        <v>13413.77</v>
      </c>
      <c r="Q16" s="89">
        <f>SUM(P16/D16)</f>
        <v/>
      </c>
      <c r="R16" s="130" t="n">
        <v>3713.6</v>
      </c>
      <c r="S16" s="9" t="n"/>
      <c r="V16" s="238" t="n"/>
    </row>
    <row r="17" ht="15.6" customHeight="1">
      <c r="A17" s="251" t="inlineStr">
        <is>
          <t>Paulshof</t>
        </is>
      </c>
      <c r="B17" s="200">
        <f>'11 - 17 Jan 2021'!D17</f>
        <v/>
      </c>
      <c r="C17" s="73" t="n">
        <v>217452</v>
      </c>
      <c r="D17" s="145" t="n">
        <v>85253.73</v>
      </c>
      <c r="E17" s="130" t="n">
        <v>296416.57</v>
      </c>
      <c r="F17" s="163">
        <f>IFERROR((SUM(D17-C17)/C17),0)</f>
        <v/>
      </c>
      <c r="G17" s="155">
        <f>IFERROR((SUM(D17-B17)/B17),0)</f>
        <v/>
      </c>
      <c r="H17" s="150" t="n">
        <v>400</v>
      </c>
      <c r="I17" s="63">
        <f>IFERROR(D17/H17,0)</f>
        <v/>
      </c>
      <c r="J17" s="61" t="n">
        <v>33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/>
      </c>
      <c r="M17" s="172">
        <f>IFERROR(L17/SUM(H17),0)</f>
        <v/>
      </c>
      <c r="N17" s="247" t="n">
        <v>31173.7</v>
      </c>
      <c r="O17" s="89">
        <f>SUM(N17/D17)</f>
        <v/>
      </c>
      <c r="P17" s="247" t="n">
        <v>4029.57</v>
      </c>
      <c r="Q17" s="89">
        <f>SUM(P17/D17)</f>
        <v/>
      </c>
      <c r="R17" s="130" t="n">
        <v>2930</v>
      </c>
      <c r="S17" s="9" t="n"/>
    </row>
    <row r="18" ht="15.6" customHeight="1">
      <c r="A18" s="198" t="inlineStr">
        <is>
          <t>Queenswood</t>
        </is>
      </c>
      <c r="B18" s="200">
        <f>'11 - 17 Jan 2021'!D18</f>
        <v/>
      </c>
      <c r="C18" s="73" t="n">
        <v>198718.15</v>
      </c>
      <c r="D18" s="145" t="n">
        <v>102837.09</v>
      </c>
      <c r="E18" s="130" t="n">
        <v>352724.06</v>
      </c>
      <c r="F18" s="163">
        <f>IFERROR((SUM(D18-C18)/C18),0)</f>
        <v/>
      </c>
      <c r="G18" s="155">
        <f>IFERROR((SUM(D18-B18)/B18),0)</f>
        <v/>
      </c>
      <c r="H18" s="150" t="n">
        <v>446</v>
      </c>
      <c r="I18" s="258">
        <f>IFERROR(D18/H18,0)</f>
        <v/>
      </c>
      <c r="J18" s="61" t="n">
        <v>33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/>
      </c>
      <c r="M18" s="172">
        <f>IFERROR(L18/SUM(H18),0)</f>
        <v/>
      </c>
      <c r="N18" s="247" t="n">
        <v>25011.96</v>
      </c>
      <c r="O18" s="89">
        <f>SUM(N18/D18)</f>
        <v/>
      </c>
      <c r="P18" s="247" t="n">
        <v>11305.12</v>
      </c>
      <c r="Q18" s="89">
        <f>SUM(P18/D18)</f>
        <v/>
      </c>
      <c r="R18" s="130" t="n">
        <v>3507.15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'18 - 24 Jan 2021'!D6</f>
        <v/>
      </c>
      <c r="C6" s="255" t="n">
        <v>253886.48</v>
      </c>
      <c r="D6" s="197" t="n">
        <v>126561.93</v>
      </c>
      <c r="E6" s="254" t="n">
        <v>511848.51</v>
      </c>
      <c r="F6" s="162">
        <f>IFERROR((SUM(D6-C6)/C6),0)</f>
        <v/>
      </c>
      <c r="G6" s="154">
        <f>IFERROR((SUM(D6-B6)/B6),0)</f>
        <v/>
      </c>
      <c r="H6" s="149" t="n">
        <v>484</v>
      </c>
      <c r="I6" s="256">
        <f>IFERROR(D6/H6,0)</f>
        <v/>
      </c>
      <c r="J6" s="125" t="n">
        <v>55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/>
      </c>
      <c r="M6" s="171">
        <f>IFERROR(L6/SUM(H6),0)</f>
        <v/>
      </c>
      <c r="N6" s="246" t="n">
        <v>39407.7</v>
      </c>
      <c r="O6" s="128">
        <f>SUM(N6/D6)</f>
        <v/>
      </c>
      <c r="P6" s="247" t="n">
        <v>1587.48</v>
      </c>
      <c r="Q6" s="128">
        <f>SUM(P6/D6)</f>
        <v/>
      </c>
      <c r="R6" s="129" t="n">
        <v>5084</v>
      </c>
      <c r="S6" s="26" t="n"/>
    </row>
    <row r="7" ht="15.6" customHeight="1">
      <c r="A7" s="409" t="inlineStr">
        <is>
          <t>Melrose Arch</t>
        </is>
      </c>
      <c r="B7" s="200">
        <f>'18 - 24 Jan 2021'!D7</f>
        <v/>
      </c>
      <c r="C7" s="73" t="n">
        <v>219670.06</v>
      </c>
      <c r="D7" s="145" t="n">
        <v>93776.87</v>
      </c>
      <c r="E7" s="130" t="n">
        <v>374031.75</v>
      </c>
      <c r="F7" s="163">
        <f>IFERROR((SUM(D7-C7)/C7),0)</f>
        <v/>
      </c>
      <c r="G7" s="155">
        <f>IFERROR((SUM(D7-B7)/B7),0)</f>
        <v/>
      </c>
      <c r="H7" s="150" t="n">
        <v>366</v>
      </c>
      <c r="I7" s="63">
        <f>IFERROR(D7/H7,0)</f>
        <v/>
      </c>
      <c r="J7" s="61" t="n">
        <v>35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/>
      </c>
      <c r="M7" s="172">
        <f>IFERROR(L7/SUM(H7),0)</f>
        <v/>
      </c>
      <c r="N7" s="247" t="n">
        <v>17975.17</v>
      </c>
      <c r="O7" s="89">
        <f>SUM(N7/D7)</f>
        <v/>
      </c>
      <c r="P7" s="247" t="n">
        <v>12044.61</v>
      </c>
      <c r="Q7" s="89">
        <f>SUM(P7/D7)</f>
        <v/>
      </c>
      <c r="R7" s="130" t="n">
        <v>4794.85</v>
      </c>
      <c r="S7" s="26" t="n"/>
    </row>
    <row r="8" ht="15.6" customHeight="1">
      <c r="A8" s="409" t="inlineStr">
        <is>
          <t>Melville</t>
        </is>
      </c>
      <c r="B8" s="200">
        <f>'18 - 24 Jan 2021'!D8</f>
        <v/>
      </c>
      <c r="C8" s="73" t="n">
        <v>108989.56</v>
      </c>
      <c r="D8" s="145" t="n">
        <v>57360.48</v>
      </c>
      <c r="E8" s="130" t="n">
        <v>229833.6</v>
      </c>
      <c r="F8" s="163">
        <f>IFERROR((SUM(D8-C8)/C8),0)</f>
        <v/>
      </c>
      <c r="G8" s="155">
        <f>IFERROR((SUM(D8-B8)/B8),0)</f>
        <v/>
      </c>
      <c r="H8" s="150" t="n">
        <v>285</v>
      </c>
      <c r="I8" s="63">
        <f>IFERROR(D8/H8,0)</f>
        <v/>
      </c>
      <c r="J8" s="61" t="n">
        <v>45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/>
      </c>
      <c r="M8" s="172">
        <f>IFERROR(L8/SUM(H8),0)</f>
        <v/>
      </c>
      <c r="N8" s="247" t="n">
        <v>29040.49</v>
      </c>
      <c r="O8" s="89">
        <f>SUM(N8/D8)</f>
        <v/>
      </c>
      <c r="P8" s="247" t="n">
        <v>12929.96</v>
      </c>
      <c r="Q8" s="89">
        <f>SUM(P8/D8)</f>
        <v/>
      </c>
      <c r="R8" s="130" t="n">
        <v>2571</v>
      </c>
      <c r="S8" s="26" t="n"/>
    </row>
    <row r="9" ht="15.6" customHeight="1">
      <c r="A9" s="409" t="inlineStr">
        <is>
          <t>Rosebank</t>
        </is>
      </c>
      <c r="B9" s="200">
        <f>'18 - 24 Jan 2021'!D9</f>
        <v/>
      </c>
      <c r="C9" s="73" t="n">
        <v>304035.96</v>
      </c>
      <c r="D9" s="145" t="n">
        <v>126300.8</v>
      </c>
      <c r="E9" s="130" t="n">
        <v>508556.47</v>
      </c>
      <c r="F9" s="163">
        <f>IFERROR((SUM(D9-C9)/C9),0)</f>
        <v/>
      </c>
      <c r="G9" s="155">
        <f>IFERROR((SUM(D9-B9)/B9),0)</f>
        <v/>
      </c>
      <c r="H9" s="150" t="n">
        <v>549</v>
      </c>
      <c r="I9" s="63">
        <f>IFERROR(D9/H9,0)</f>
        <v/>
      </c>
      <c r="J9" s="61" t="n">
        <v>65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/>
      </c>
      <c r="M9" s="172">
        <f>IFERROR(L9/SUM(H9),0)</f>
        <v/>
      </c>
      <c r="N9" s="247" t="n">
        <v>14333.48</v>
      </c>
      <c r="O9" s="89">
        <f>SUM(N9/D9)</f>
        <v/>
      </c>
      <c r="P9" s="247" t="n">
        <v>12644.19</v>
      </c>
      <c r="Q9" s="89">
        <f>SUM(P9/D9)</f>
        <v/>
      </c>
      <c r="R9" s="130" t="n">
        <v>7302.6</v>
      </c>
      <c r="S9" s="26" t="n"/>
    </row>
    <row r="10" ht="15.6" customHeight="1">
      <c r="A10" s="411" t="inlineStr">
        <is>
          <t xml:space="preserve">Waterkloof </t>
        </is>
      </c>
      <c r="B10" s="200">
        <f>'18 - 24 Jan 2021'!D10</f>
        <v/>
      </c>
      <c r="C10" s="73" t="n">
        <v>157219.01</v>
      </c>
      <c r="D10" s="145" t="n">
        <v>84843.92999999999</v>
      </c>
      <c r="E10" s="130" t="n">
        <v>356034.85</v>
      </c>
      <c r="F10" s="163">
        <f>IFERROR((SUM(D10-C10)/C10),0)</f>
        <v/>
      </c>
      <c r="G10" s="155">
        <f>IFERROR((SUM(D10-B10)/B10),0)</f>
        <v/>
      </c>
      <c r="H10" s="150" t="n">
        <v>356</v>
      </c>
      <c r="I10" s="63">
        <f>IFERROR(D10/H10,0)</f>
        <v/>
      </c>
      <c r="J10" s="61" t="n">
        <v>35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/>
      </c>
      <c r="M10" s="172">
        <f>IFERROR(L10/SUM(H10),0)</f>
        <v/>
      </c>
      <c r="N10" s="247" t="n">
        <v>22469.07</v>
      </c>
      <c r="O10" s="89">
        <f>SUM(N10/D10)</f>
        <v/>
      </c>
      <c r="P10" s="247" t="n">
        <v>21507.19</v>
      </c>
      <c r="Q10" s="89">
        <f>SUM(P10/D10)</f>
        <v/>
      </c>
      <c r="R10" s="130" t="n">
        <v>4465.7</v>
      </c>
      <c r="S10" s="26" t="n"/>
    </row>
    <row r="11" ht="15.6" customHeight="1">
      <c r="A11" s="409" t="inlineStr">
        <is>
          <t>Eagles Landing</t>
        </is>
      </c>
      <c r="B11" s="200">
        <f>'18 - 24 Jan 2021'!D11</f>
        <v/>
      </c>
      <c r="C11" s="73" t="n">
        <v>317481.25</v>
      </c>
      <c r="D11" s="145" t="n">
        <v>166326.36</v>
      </c>
      <c r="E11" s="130" t="n">
        <v>667880.8100000001</v>
      </c>
      <c r="F11" s="163">
        <f>IFERROR((SUM(D11-C11)/C11),0)</f>
        <v/>
      </c>
      <c r="G11" s="155">
        <f>IFERROR((SUM(D11-B11)/B11),0)</f>
        <v/>
      </c>
      <c r="H11" s="150" t="n">
        <v>712</v>
      </c>
      <c r="I11" s="63">
        <f>IFERROR(D11/H11,0)</f>
        <v/>
      </c>
      <c r="J11" s="61" t="n">
        <v>62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/>
      </c>
      <c r="M11" s="172">
        <f>IFERROR(L11/SUM(H11),0)</f>
        <v/>
      </c>
      <c r="N11" s="247" t="n">
        <v>33020.22</v>
      </c>
      <c r="O11" s="89">
        <f>SUM(N11/D11)</f>
        <v/>
      </c>
      <c r="P11" s="247" t="n">
        <v>28116.61</v>
      </c>
      <c r="Q11" s="89">
        <f>SUM(P11/D11)</f>
        <v/>
      </c>
      <c r="R11" s="130" t="n">
        <v>11517.6</v>
      </c>
      <c r="S11" s="26" t="n"/>
    </row>
    <row r="12" ht="15.6" customHeight="1">
      <c r="A12" s="198" t="inlineStr">
        <is>
          <t>Stellenbosch</t>
        </is>
      </c>
      <c r="B12" s="200">
        <f>'18 - 24 Jan 2021'!D12</f>
        <v/>
      </c>
      <c r="C12" s="73" t="n">
        <v>171217.16</v>
      </c>
      <c r="D12" s="145" t="n">
        <v>69138.12</v>
      </c>
      <c r="E12" s="130" t="n">
        <v>301970.54</v>
      </c>
      <c r="F12" s="163">
        <f>IFERROR((SUM(D12-C12)/C12),0)</f>
        <v/>
      </c>
      <c r="G12" s="155">
        <f>IFERROR((SUM(D12-B12)/B12),0)</f>
        <v/>
      </c>
      <c r="H12" s="150" t="n">
        <v>322</v>
      </c>
      <c r="I12" s="63">
        <f>IFERROR(D12/H12,0)</f>
        <v/>
      </c>
      <c r="J12" s="61" t="n">
        <v>27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/>
      </c>
      <c r="M12" s="172">
        <f>IFERROR(L12/SUM(H12),0)</f>
        <v/>
      </c>
      <c r="N12" s="247" t="n">
        <v>19394.78</v>
      </c>
      <c r="O12" s="89">
        <f>SUM(N12/D12)</f>
        <v/>
      </c>
      <c r="P12" s="247" t="n">
        <v>2313.96</v>
      </c>
      <c r="Q12" s="89">
        <f>SUM(P12/D12)</f>
        <v/>
      </c>
      <c r="R12" s="130" t="n">
        <v>6304.5</v>
      </c>
      <c r="S12" s="26" t="n"/>
    </row>
    <row r="13" ht="15.6" customHeight="1">
      <c r="A13" s="198" t="inlineStr">
        <is>
          <t>Lynnwood</t>
        </is>
      </c>
      <c r="B13" s="200">
        <f>'18 - 24 Jan 2021'!D13</f>
        <v/>
      </c>
      <c r="C13" s="73" t="n">
        <v>252185.47</v>
      </c>
      <c r="D13" s="145" t="n">
        <v>132147.5</v>
      </c>
      <c r="E13" s="130" t="n">
        <v>537445.47</v>
      </c>
      <c r="F13" s="163">
        <f>IFERROR((SUM(D13-C13)/C13),0)</f>
        <v/>
      </c>
      <c r="G13" s="155">
        <f>IFERROR((SUM(D13-B13)/B13),0)</f>
        <v/>
      </c>
      <c r="H13" s="150" t="n">
        <v>557</v>
      </c>
      <c r="I13" s="63">
        <f>IFERROR(D13/H13,0)</f>
        <v/>
      </c>
      <c r="J13" s="61" t="n">
        <v>38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/>
      </c>
      <c r="M13" s="172">
        <f>IFERROR(L13/SUM(H13),0)</f>
        <v/>
      </c>
      <c r="N13" s="247" t="n">
        <v>33102.43</v>
      </c>
      <c r="O13" s="89">
        <f>SUM(N13/D13)</f>
        <v/>
      </c>
      <c r="P13" s="247" t="n">
        <v>24111.17</v>
      </c>
      <c r="Q13" s="89">
        <f>SUM(P13/D13)</f>
        <v/>
      </c>
      <c r="R13" s="130" t="n">
        <v>2754.5</v>
      </c>
      <c r="S13" s="26" t="n"/>
    </row>
    <row r="14" hidden="1" ht="15.6" customHeight="1">
      <c r="A14" s="198" t="inlineStr">
        <is>
          <t>Wellington</t>
        </is>
      </c>
      <c r="B14" s="200">
        <f>'18 - 24 Jan 2021'!D14</f>
        <v/>
      </c>
      <c r="C14" s="73" t="n"/>
      <c r="D14" s="145" t="n"/>
      <c r="E14" s="130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/>
      </c>
      <c r="M14" s="172">
        <f>IFERROR(L14/SUM(H14),0)</f>
        <v/>
      </c>
      <c r="N14" s="247" t="n"/>
      <c r="O14" s="89">
        <f>SUM(N14/D14)</f>
        <v/>
      </c>
      <c r="P14" s="247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'18 - 24 Jan 2021'!D15</f>
        <v/>
      </c>
      <c r="C15" s="73" t="n">
        <v>177284.39</v>
      </c>
      <c r="D15" s="145" t="n">
        <v>102350.02</v>
      </c>
      <c r="E15" s="130" t="n">
        <v>871889.87</v>
      </c>
      <c r="F15" s="163">
        <f>IFERROR((SUM(D15-C15)/C15),0)</f>
        <v/>
      </c>
      <c r="G15" s="155">
        <f>IFERROR((SUM(D15-B15)/B15),0)</f>
        <v/>
      </c>
      <c r="H15" s="150" t="n">
        <v>410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/>
      </c>
      <c r="M15" s="172">
        <f>IFERROR(L15/SUM(H15),0)</f>
        <v/>
      </c>
      <c r="N15" s="247" t="n">
        <v>0</v>
      </c>
      <c r="O15" s="89">
        <f>SUM(N15/D15)</f>
        <v/>
      </c>
      <c r="P15" s="247" t="n">
        <v>14062.17</v>
      </c>
      <c r="Q15" s="89">
        <f>SUM(P15/D15)</f>
        <v/>
      </c>
      <c r="R15" s="130" t="n">
        <v>2597.2</v>
      </c>
      <c r="S15" s="9" t="n"/>
    </row>
    <row r="16" ht="15.6" customHeight="1">
      <c r="A16" s="198" t="inlineStr">
        <is>
          <t>Kyalami Corner</t>
        </is>
      </c>
      <c r="B16" s="200">
        <f>'18 - 24 Jan 2021'!D16</f>
        <v/>
      </c>
      <c r="C16" s="73" t="n">
        <v>129067.81</v>
      </c>
      <c r="D16" s="145" t="n">
        <v>69979.25999999999</v>
      </c>
      <c r="E16" s="130" t="n">
        <v>289945.29</v>
      </c>
      <c r="F16" s="163">
        <f>IFERROR((SUM(D16-C16)/C16),0)</f>
        <v/>
      </c>
      <c r="G16" s="155">
        <f>IFERROR((SUM(D16-B16)/B16),0)</f>
        <v/>
      </c>
      <c r="H16" s="150" t="n">
        <v>311</v>
      </c>
      <c r="I16" s="63">
        <f>IFERROR(D16/H16,0)</f>
        <v/>
      </c>
      <c r="J16" s="61" t="n">
        <v>31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/>
      </c>
      <c r="M16" s="172">
        <f>IFERROR(L16/SUM(H16),0)</f>
        <v/>
      </c>
      <c r="N16" s="247" t="n">
        <v>17198.83</v>
      </c>
      <c r="O16" s="89">
        <f>SUM(N16/D16)</f>
        <v/>
      </c>
      <c r="P16" s="247" t="n">
        <v>17052.46</v>
      </c>
      <c r="Q16" s="89">
        <f>SUM(P16/D16)</f>
        <v/>
      </c>
      <c r="R16" s="130" t="n">
        <v>4188</v>
      </c>
      <c r="S16" s="9" t="n"/>
      <c r="V16" s="238" t="n"/>
    </row>
    <row r="17" ht="15.6" customHeight="1">
      <c r="A17" s="251" t="inlineStr">
        <is>
          <t>Paulshof</t>
        </is>
      </c>
      <c r="B17" s="200">
        <f>'18 - 24 Jan 2021'!D17</f>
        <v/>
      </c>
      <c r="C17" s="73" t="n">
        <v>226675.96</v>
      </c>
      <c r="D17" s="145" t="n">
        <v>98293.32000000001</v>
      </c>
      <c r="E17" s="130" t="n">
        <v>394709.89</v>
      </c>
      <c r="F17" s="163">
        <f>IFERROR((SUM(D17-C17)/C17),0)</f>
        <v/>
      </c>
      <c r="G17" s="155">
        <f>IFERROR((SUM(D17-B17)/B17),0)</f>
        <v/>
      </c>
      <c r="H17" s="150" t="n">
        <v>455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/>
      </c>
      <c r="M17" s="172">
        <f>IFERROR(L17/SUM(H17),0)</f>
        <v/>
      </c>
      <c r="N17" s="247" t="n">
        <v>35881.43</v>
      </c>
      <c r="O17" s="89">
        <f>SUM(N17/D17)</f>
        <v/>
      </c>
      <c r="P17" s="247" t="n">
        <v>9818.389999999999</v>
      </c>
      <c r="Q17" s="89">
        <f>SUM(P17/D17)</f>
        <v/>
      </c>
      <c r="R17" s="130" t="n">
        <v>1928.5</v>
      </c>
      <c r="S17" s="9" t="n"/>
    </row>
    <row r="18" ht="15.6" customHeight="1">
      <c r="A18" s="198" t="inlineStr">
        <is>
          <t>Queenswood</t>
        </is>
      </c>
      <c r="B18" s="200">
        <f>'18 - 24 Jan 2021'!D18</f>
        <v/>
      </c>
      <c r="C18" s="73" t="n">
        <v>189390.06</v>
      </c>
      <c r="D18" s="145" t="n">
        <v>103453.32</v>
      </c>
      <c r="E18" s="130" t="n">
        <v>456177.38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/>
      </c>
      <c r="M18" s="172">
        <f>IFERROR(L18/SUM(H18),0)</f>
        <v/>
      </c>
      <c r="N18" s="247" t="n">
        <v>26491.65</v>
      </c>
      <c r="O18" s="89">
        <f>SUM(N18/D18)</f>
        <v/>
      </c>
      <c r="P18" s="247" t="n">
        <v>14326.7</v>
      </c>
      <c r="Q18" s="89">
        <f>SUM(P18/D18)</f>
        <v/>
      </c>
      <c r="R18" s="130" t="n">
        <v>3984.5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48" t="n">
        <v>0</v>
      </c>
      <c r="O19" s="116">
        <f>SUM(N19/D19)</f>
        <v/>
      </c>
      <c r="P19" s="248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9" operator="equal" dxfId="0">
      <formula>0</formula>
    </cfRule>
  </conditionalFormatting>
  <conditionalFormatting sqref="D7:E19">
    <cfRule type="cellIs" priority="8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>
        <f>J5+'Nov 19 - Nov 25'!I5+'Nov 26 - Dec 2'!I5+'Dec 3 - Dec 9'!I5+'Dec 10 - Dec 16'!I5+'Dec 17 - Dec 23'!I5+'Dec 24 - Dec 30'!I5</f>
        <v/>
      </c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'25 - 31 Jan 2021'!D6</f>
        <v/>
      </c>
      <c r="C6" s="255" t="n">
        <v>237293.22</v>
      </c>
      <c r="D6" s="197" t="n">
        <v>174135.04</v>
      </c>
      <c r="E6" s="197" t="n">
        <v>174135.04</v>
      </c>
      <c r="F6" s="162">
        <f>IFERROR((SUM(D6-C6)/C6),0)</f>
        <v/>
      </c>
      <c r="G6" s="154">
        <f>IFERROR((SUM(D6-B6)/B6),0)</f>
        <v/>
      </c>
      <c r="H6" s="149" t="n">
        <v>599</v>
      </c>
      <c r="I6" s="256">
        <f>IFERROR(D6/H6,0)</f>
        <v/>
      </c>
      <c r="J6" s="125" t="n">
        <v>91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/>
      </c>
      <c r="M6" s="171">
        <f>IFERROR(L6/SUM(H6),0)</f>
        <v/>
      </c>
      <c r="N6" s="259" t="n">
        <v>47139.26</v>
      </c>
      <c r="O6" s="128">
        <f>SUM(N6/D6)</f>
        <v/>
      </c>
      <c r="P6" s="260" t="n">
        <v>0</v>
      </c>
      <c r="Q6" s="128">
        <f>SUM(P6/D6)</f>
        <v/>
      </c>
      <c r="R6" s="129" t="n">
        <v>5353.53</v>
      </c>
      <c r="S6" s="26" t="n"/>
    </row>
    <row r="7" ht="15.6" customHeight="1">
      <c r="A7" s="409" t="inlineStr">
        <is>
          <t>Melrose Arch</t>
        </is>
      </c>
      <c r="B7" s="200">
        <f>'25 - 31 Jan 2021'!D7</f>
        <v/>
      </c>
      <c r="C7" s="73" t="n">
        <v>220030.82</v>
      </c>
      <c r="D7" s="145" t="n">
        <v>142494.72</v>
      </c>
      <c r="E7" s="145" t="n">
        <v>142494.72</v>
      </c>
      <c r="F7" s="163">
        <f>IFERROR((SUM(D7-C7)/C7),0)</f>
        <v/>
      </c>
      <c r="G7" s="155">
        <f>IFERROR((SUM(D7-B7)/B7),0)</f>
        <v/>
      </c>
      <c r="H7" s="150" t="n">
        <v>505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/>
      </c>
      <c r="M7" s="172">
        <f>IFERROR(L7/SUM(H7),0)</f>
        <v/>
      </c>
      <c r="N7" s="260" t="n">
        <v>16842.78</v>
      </c>
      <c r="O7" s="89">
        <f>SUM(N7/D7)</f>
        <v/>
      </c>
      <c r="P7" s="260" t="n">
        <v>10549.74</v>
      </c>
      <c r="Q7" s="89">
        <f>SUM(P7/D7)</f>
        <v/>
      </c>
      <c r="R7" s="130" t="n">
        <v>7359.85</v>
      </c>
      <c r="S7" s="26" t="n"/>
    </row>
    <row r="8" ht="15.6" customHeight="1">
      <c r="A8" s="409" t="inlineStr">
        <is>
          <t>Melville</t>
        </is>
      </c>
      <c r="B8" s="200">
        <f>'25 - 31 Jan 2021'!D8</f>
        <v/>
      </c>
      <c r="C8" s="73" t="n">
        <v>109046.25</v>
      </c>
      <c r="D8" s="145" t="n">
        <v>83932.42</v>
      </c>
      <c r="E8" s="145" t="n">
        <v>83932.42</v>
      </c>
      <c r="F8" s="163">
        <f>IFERROR((SUM(D8-C8)/C8),0)</f>
        <v/>
      </c>
      <c r="G8" s="155">
        <f>IFERROR((SUM(D8-B8)/B8),0)</f>
        <v/>
      </c>
      <c r="H8" s="150" t="n">
        <v>349</v>
      </c>
      <c r="I8" s="63">
        <f>IFERROR(D8/H8,0)</f>
        <v/>
      </c>
      <c r="J8" s="61" t="n">
        <v>64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/>
      </c>
      <c r="M8" s="172">
        <f>IFERROR(L8/SUM(H8),0)</f>
        <v/>
      </c>
      <c r="N8" s="260" t="n">
        <v>34751.04</v>
      </c>
      <c r="O8" s="89">
        <f>SUM(N8/D8)</f>
        <v/>
      </c>
      <c r="P8" s="260" t="n">
        <v>10123.39</v>
      </c>
      <c r="Q8" s="89">
        <f>SUM(P8/D8)</f>
        <v/>
      </c>
      <c r="R8" s="130" t="n">
        <v>2588.7</v>
      </c>
      <c r="S8" s="26" t="n"/>
    </row>
    <row r="9" ht="15.6" customHeight="1">
      <c r="A9" s="409" t="inlineStr">
        <is>
          <t>Rosebank</t>
        </is>
      </c>
      <c r="B9" s="200">
        <f>'25 - 31 Jan 2021'!D9</f>
        <v/>
      </c>
      <c r="C9" s="73" t="n">
        <v>0</v>
      </c>
      <c r="D9" s="145" t="n">
        <v>179928.28</v>
      </c>
      <c r="E9" s="145" t="n">
        <v>179928.28</v>
      </c>
      <c r="F9" s="163">
        <f>IFERROR((SUM(D9-C9)/C9),0)</f>
        <v/>
      </c>
      <c r="G9" s="155">
        <f>IFERROR((SUM(D9-B9)/B9),0)</f>
        <v/>
      </c>
      <c r="H9" s="150" t="n">
        <v>700</v>
      </c>
      <c r="I9" s="63">
        <f>IFERROR(D9/H9,0)</f>
        <v/>
      </c>
      <c r="J9" s="61" t="n">
        <v>88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/>
      </c>
      <c r="M9" s="172">
        <f>IFERROR(L9/SUM(H9),0)</f>
        <v/>
      </c>
      <c r="N9" s="260" t="n">
        <v>20855.83</v>
      </c>
      <c r="O9" s="89">
        <f>SUM(N9/D9)</f>
        <v/>
      </c>
      <c r="P9" s="260" t="n">
        <v>14666.43</v>
      </c>
      <c r="Q9" s="89">
        <f>SUM(P9/D9)</f>
        <v/>
      </c>
      <c r="R9" s="130" t="n">
        <v>8300.9</v>
      </c>
      <c r="S9" s="26" t="n"/>
    </row>
    <row r="10" ht="15.6" customHeight="1">
      <c r="A10" s="411" t="inlineStr">
        <is>
          <t xml:space="preserve">Waterkloof </t>
        </is>
      </c>
      <c r="B10" s="200">
        <f>'25 - 31 Jan 2021'!D10</f>
        <v/>
      </c>
      <c r="C10" s="73" t="n">
        <v>162465.92</v>
      </c>
      <c r="D10" s="145" t="n">
        <v>109234.04</v>
      </c>
      <c r="E10" s="145" t="n">
        <v>109234.04</v>
      </c>
      <c r="F10" s="163">
        <f>IFERROR((SUM(D10-C10)/C10),0)</f>
        <v/>
      </c>
      <c r="G10" s="155">
        <f>IFERROR((SUM(D10-B10)/B10),0)</f>
        <v/>
      </c>
      <c r="H10" s="150" t="n">
        <v>430</v>
      </c>
      <c r="I10" s="63">
        <f>IFERROR(D10/H10,0)</f>
        <v/>
      </c>
      <c r="J10" s="61" t="n">
        <v>68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/>
      </c>
      <c r="M10" s="172">
        <f>IFERROR(L10/SUM(H10),0)</f>
        <v/>
      </c>
      <c r="N10" s="260" t="n">
        <v>24742.78</v>
      </c>
      <c r="O10" s="89">
        <f>SUM(N10/D10)</f>
        <v/>
      </c>
      <c r="P10" s="260" t="n">
        <v>21196.54</v>
      </c>
      <c r="Q10" s="89">
        <f>SUM(P10/D10)</f>
        <v/>
      </c>
      <c r="R10" s="130" t="n">
        <v>6914.05</v>
      </c>
      <c r="S10" s="26" t="n"/>
    </row>
    <row r="11" ht="15.6" customHeight="1">
      <c r="A11" s="409" t="inlineStr">
        <is>
          <t>Eagles Landing</t>
        </is>
      </c>
      <c r="B11" s="200">
        <f>'25 - 31 Jan 2021'!D11</f>
        <v/>
      </c>
      <c r="C11" s="73" t="n">
        <v>296440.63</v>
      </c>
      <c r="D11" s="145" t="n">
        <v>253363.15</v>
      </c>
      <c r="E11" s="145" t="n">
        <v>253363.15</v>
      </c>
      <c r="F11" s="163">
        <f>IFERROR((SUM(D11-C11)/C11),0)</f>
        <v/>
      </c>
      <c r="G11" s="155">
        <f>IFERROR((SUM(D11-B11)/B11),0)</f>
        <v/>
      </c>
      <c r="H11" s="150" t="n">
        <v>947</v>
      </c>
      <c r="I11" s="63">
        <f>IFERROR(D11/H11,0)</f>
        <v/>
      </c>
      <c r="J11" s="61" t="n">
        <v>87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/>
      </c>
      <c r="M11" s="172">
        <f>IFERROR(L11/SUM(H11),0)</f>
        <v/>
      </c>
      <c r="N11" s="260" t="n">
        <v>43814.68</v>
      </c>
      <c r="O11" s="89">
        <f>SUM(N11/D11)</f>
        <v/>
      </c>
      <c r="P11" s="260" t="n">
        <v>21037.78</v>
      </c>
      <c r="Q11" s="89">
        <f>SUM(P11/D11)</f>
        <v/>
      </c>
      <c r="R11" s="130" t="n">
        <v>14006.66</v>
      </c>
      <c r="S11" s="26" t="n"/>
    </row>
    <row r="12" ht="15.6" customHeight="1">
      <c r="A12" s="198" t="inlineStr">
        <is>
          <t>Stellenbosch</t>
        </is>
      </c>
      <c r="B12" s="200">
        <f>'25 - 31 Jan 2021'!D12</f>
        <v/>
      </c>
      <c r="C12" s="73" t="n">
        <v>153633.8</v>
      </c>
      <c r="D12" s="145" t="n">
        <v>94925.62</v>
      </c>
      <c r="E12" s="145" t="n">
        <v>94925.62</v>
      </c>
      <c r="F12" s="163">
        <f>IFERROR((SUM(D12-C12)/C12),0)</f>
        <v/>
      </c>
      <c r="G12" s="155">
        <f>IFERROR((SUM(D12-B12)/B12),0)</f>
        <v/>
      </c>
      <c r="H12" s="150" t="n">
        <v>382</v>
      </c>
      <c r="I12" s="63">
        <f>IFERROR(D12/H12,0)</f>
        <v/>
      </c>
      <c r="J12" s="61" t="n">
        <v>38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/>
      </c>
      <c r="M12" s="172">
        <f>IFERROR(L12/SUM(H12),0)</f>
        <v/>
      </c>
      <c r="N12" s="260" t="n">
        <v>17128.78</v>
      </c>
      <c r="O12" s="89">
        <f>SUM(N12/D12)</f>
        <v/>
      </c>
      <c r="P12" s="260" t="n">
        <v>7419.61</v>
      </c>
      <c r="Q12" s="89">
        <f>SUM(P12/D12)</f>
        <v/>
      </c>
      <c r="R12" s="130" t="n">
        <v>6625</v>
      </c>
      <c r="S12" s="26" t="n"/>
    </row>
    <row r="13" ht="15.6" customHeight="1">
      <c r="A13" s="198" t="inlineStr">
        <is>
          <t>Lynnwood</t>
        </is>
      </c>
      <c r="B13" s="200">
        <f>'25 - 31 Jan 2021'!D13</f>
        <v/>
      </c>
      <c r="C13" s="73" t="n">
        <v>206977.96</v>
      </c>
      <c r="D13" s="145" t="n">
        <v>172280.88</v>
      </c>
      <c r="E13" s="145" t="n">
        <v>172280.88</v>
      </c>
      <c r="F13" s="163">
        <f>IFERROR((SUM(D13-C13)/C13),0)</f>
        <v/>
      </c>
      <c r="G13" s="155">
        <f>IFERROR((SUM(D13-B13)/B13),0)</f>
        <v/>
      </c>
      <c r="H13" s="150" t="n">
        <v>663</v>
      </c>
      <c r="I13" s="63">
        <f>IFERROR(D13/H13,0)</f>
        <v/>
      </c>
      <c r="J13" s="61" t="n">
        <v>87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/>
      </c>
      <c r="M13" s="172">
        <f>IFERROR(L13/SUM(H13),0)</f>
        <v/>
      </c>
      <c r="N13" s="260" t="n">
        <v>27634.65</v>
      </c>
      <c r="O13" s="89">
        <f>SUM(N13/D13)</f>
        <v/>
      </c>
      <c r="P13" s="260" t="n">
        <v>21368.4</v>
      </c>
      <c r="Q13" s="89">
        <f>SUM(P13/D13)</f>
        <v/>
      </c>
      <c r="R13" s="130" t="n">
        <v>2185.5</v>
      </c>
      <c r="S13" s="26" t="n"/>
    </row>
    <row r="14" hidden="1" ht="15.6" customHeight="1">
      <c r="A14" s="198" t="inlineStr">
        <is>
          <t>Wellington</t>
        </is>
      </c>
      <c r="B14" s="200">
        <f>'25 - 31 Jan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'25 - 31 Jan 2021'!D15</f>
        <v/>
      </c>
      <c r="C15" s="73" t="n">
        <v>184245.92</v>
      </c>
      <c r="D15" s="145" t="n">
        <v>160228.96</v>
      </c>
      <c r="E15" s="145" t="n">
        <v>160228.96</v>
      </c>
      <c r="F15" s="163">
        <f>IFERROR((SUM(D15-C15)/C15),0)</f>
        <v/>
      </c>
      <c r="G15" s="155">
        <f>IFERROR((SUM(D15-B15)/B15),0)</f>
        <v/>
      </c>
      <c r="H15" s="150" t="n">
        <v>545</v>
      </c>
      <c r="I15" s="63">
        <f>IFERROR(D15/H15,0)</f>
        <v/>
      </c>
      <c r="J15" s="61" t="n">
        <v>27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18291.65</v>
      </c>
      <c r="Q15" s="89">
        <f>SUM(P15/D15)</f>
        <v/>
      </c>
      <c r="R15" s="130" t="n">
        <v>3623</v>
      </c>
      <c r="S15" s="9" t="n"/>
    </row>
    <row r="16" ht="15.6" customHeight="1">
      <c r="A16" s="198" t="inlineStr">
        <is>
          <t>Kyalami Corner</t>
        </is>
      </c>
      <c r="B16" s="200">
        <f>'25 - 31 Jan 2021'!D16</f>
        <v/>
      </c>
      <c r="C16" s="73" t="n">
        <v>136872.09</v>
      </c>
      <c r="D16" s="145" t="n">
        <v>103278.04</v>
      </c>
      <c r="E16" s="145" t="n">
        <v>103278.04</v>
      </c>
      <c r="F16" s="163">
        <f>IFERROR((SUM(D16-C16)/C16),0)</f>
        <v/>
      </c>
      <c r="G16" s="155">
        <f>IFERROR((SUM(D16-B16)/B16),0)</f>
        <v/>
      </c>
      <c r="H16" s="150" t="n">
        <v>407</v>
      </c>
      <c r="I16" s="63">
        <f>IFERROR(D16/H16,0)</f>
        <v/>
      </c>
      <c r="J16" s="61" t="n">
        <v>59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/>
      </c>
      <c r="M16" s="172">
        <f>IFERROR(L16/SUM(H16),0)</f>
        <v/>
      </c>
      <c r="N16" s="260" t="n">
        <v>21093.48</v>
      </c>
      <c r="O16" s="89">
        <f>SUM(N16/D16)</f>
        <v/>
      </c>
      <c r="P16" s="260" t="n">
        <v>11207.21</v>
      </c>
      <c r="Q16" s="89">
        <f>SUM(P16/D16)</f>
        <v/>
      </c>
      <c r="R16" s="130" t="n">
        <v>5049</v>
      </c>
      <c r="S16" s="9" t="n"/>
      <c r="V16" s="238" t="n"/>
    </row>
    <row r="17" ht="15.6" customHeight="1">
      <c r="A17" s="251" t="inlineStr">
        <is>
          <t>Paulshof</t>
        </is>
      </c>
      <c r="B17" s="200">
        <f>'25 - 31 Jan 2021'!D17</f>
        <v/>
      </c>
      <c r="C17" s="73" t="n">
        <v>183593.77</v>
      </c>
      <c r="D17" s="145" t="n">
        <v>153397.76</v>
      </c>
      <c r="E17" s="145" t="n">
        <v>153397.76</v>
      </c>
      <c r="F17" s="163">
        <f>IFERROR((SUM(D17-C17)/C17),0)</f>
        <v/>
      </c>
      <c r="G17" s="155">
        <f>IFERROR((SUM(D17-B17)/B17),0)</f>
        <v/>
      </c>
      <c r="H17" s="150" t="n">
        <v>604</v>
      </c>
      <c r="I17" s="63">
        <f>IFERROR(D17/H17,0)</f>
        <v/>
      </c>
      <c r="J17" s="61" t="n">
        <v>106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/>
      </c>
      <c r="M17" s="172">
        <f>IFERROR(L17/SUM(H17),0)</f>
        <v/>
      </c>
      <c r="N17" s="260" t="n">
        <v>36152.52</v>
      </c>
      <c r="O17" s="89">
        <f>SUM(N17/D17)</f>
        <v/>
      </c>
      <c r="P17" s="260" t="n">
        <v>11710.78</v>
      </c>
      <c r="Q17" s="89">
        <f>SUM(P17/D17)</f>
        <v/>
      </c>
      <c r="R17" s="130" t="n">
        <v>1914</v>
      </c>
      <c r="S17" s="9" t="n"/>
    </row>
    <row r="18" ht="15.6" customHeight="1">
      <c r="A18" s="198" t="inlineStr">
        <is>
          <t>Queenswood</t>
        </is>
      </c>
      <c r="B18" s="200">
        <f>'25 - 31 Jan 2021'!D18</f>
        <v/>
      </c>
      <c r="C18" s="73" t="n">
        <v>176775.06</v>
      </c>
      <c r="D18" s="145" t="n">
        <v>144117.34</v>
      </c>
      <c r="E18" s="145" t="n">
        <v>144117.34</v>
      </c>
      <c r="F18" s="163">
        <f>IFERROR((SUM(D18-C18)/C18),0)</f>
        <v/>
      </c>
      <c r="G18" s="155">
        <f>IFERROR((SUM(D18-B18)/B18),0)</f>
        <v/>
      </c>
      <c r="H18" s="150" t="n">
        <v>587</v>
      </c>
      <c r="I18" s="258">
        <f>IFERROR(D18/H18,0)</f>
        <v/>
      </c>
      <c r="J18" s="61" t="n">
        <v>64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/>
      </c>
      <c r="M18" s="172">
        <f>IFERROR(L18/SUM(H18),0)</f>
        <v/>
      </c>
      <c r="N18" s="260" t="n">
        <v>19972.43</v>
      </c>
      <c r="O18" s="89">
        <f>SUM(N18/D18)</f>
        <v/>
      </c>
      <c r="P18" s="260" t="n">
        <v>18338.95</v>
      </c>
      <c r="Q18" s="89">
        <f>SUM(P18/D18)</f>
        <v/>
      </c>
      <c r="R18" s="130" t="n">
        <v>5741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1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Feb 2021'!D6</f>
        <v/>
      </c>
      <c r="C6" s="255" t="n">
        <v>280895.78</v>
      </c>
      <c r="D6" s="197" t="n">
        <v>202762.61</v>
      </c>
      <c r="E6" s="197" t="n">
        <v>376897.65</v>
      </c>
      <c r="F6" s="162">
        <f>IFERROR((SUM(D6-C6)/C6),0)</f>
        <v/>
      </c>
      <c r="G6" s="154">
        <f>IFERROR((SUM(D6-B6)/B6),0)</f>
        <v/>
      </c>
      <c r="H6" s="149" t="n">
        <v>700</v>
      </c>
      <c r="I6" s="256">
        <f>IFERROR(D6/H6,0)</f>
        <v/>
      </c>
      <c r="J6" s="125" t="n">
        <v>62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/>
      </c>
      <c r="M6" s="171">
        <f>IFERROR(L6/SUM(H6),0)</f>
        <v/>
      </c>
      <c r="N6" s="259" t="n">
        <v>44473.17</v>
      </c>
      <c r="O6" s="128">
        <f>SUM(N6/D6)</f>
        <v/>
      </c>
      <c r="P6" s="260" t="n">
        <v>910.35</v>
      </c>
      <c r="Q6" s="128">
        <f>SUM(P6/D6)</f>
        <v/>
      </c>
      <c r="R6" s="129" t="n">
        <v>6422</v>
      </c>
      <c r="S6" s="26" t="n"/>
    </row>
    <row r="7" ht="15.6" customHeight="1">
      <c r="A7" s="409" t="inlineStr">
        <is>
          <t>Melrose Arch</t>
        </is>
      </c>
      <c r="B7" s="200">
        <f>'1 - 7 Feb 2021'!D7</f>
        <v/>
      </c>
      <c r="C7" s="73" t="n">
        <v>224075.5</v>
      </c>
      <c r="D7" s="145" t="n">
        <v>178474.03</v>
      </c>
      <c r="E7" s="145" t="n">
        <v>320968.75</v>
      </c>
      <c r="F7" s="163">
        <f>IFERROR((SUM(D7-C7)/C7),0)</f>
        <v/>
      </c>
      <c r="G7" s="155">
        <f>IFERROR((SUM(D7-B7)/B7),0)</f>
        <v/>
      </c>
      <c r="H7" s="150" t="n">
        <v>647</v>
      </c>
      <c r="I7" s="63">
        <f>IFERROR(D7/H7,0)</f>
        <v/>
      </c>
      <c r="J7" s="61" t="n">
        <v>49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/>
      </c>
      <c r="M7" s="172">
        <f>IFERROR(L7/SUM(H7),0)</f>
        <v/>
      </c>
      <c r="N7" s="260" t="n">
        <v>16871.23</v>
      </c>
      <c r="O7" s="89">
        <f>SUM(N7/D7)</f>
        <v/>
      </c>
      <c r="P7" s="260" t="n">
        <v>13392.17</v>
      </c>
      <c r="Q7" s="89">
        <f>SUM(P7/D7)</f>
        <v/>
      </c>
      <c r="R7" s="130" t="n">
        <v>7990.2</v>
      </c>
      <c r="S7" s="26" t="n"/>
    </row>
    <row r="8" ht="15.6" customHeight="1">
      <c r="A8" s="409" t="inlineStr">
        <is>
          <t>Melville</t>
        </is>
      </c>
      <c r="B8" s="200">
        <f>'1 - 7 Feb 2021'!D8</f>
        <v/>
      </c>
      <c r="C8" s="73" t="n">
        <v>133786.9</v>
      </c>
      <c r="D8" s="145" t="n">
        <v>110711.04</v>
      </c>
      <c r="E8" s="145" t="n">
        <v>194643.46</v>
      </c>
      <c r="F8" s="163">
        <f>IFERROR((SUM(D8-C8)/C8),0)</f>
        <v/>
      </c>
      <c r="G8" s="155">
        <f>IFERROR((SUM(D8-B8)/B8),0)</f>
        <v/>
      </c>
      <c r="H8" s="150" t="n">
        <v>417</v>
      </c>
      <c r="I8" s="63">
        <f>IFERROR(D8/H8,0)</f>
        <v/>
      </c>
      <c r="J8" s="61" t="n">
        <v>34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/>
      </c>
      <c r="M8" s="172">
        <f>IFERROR(L8/SUM(H8),0)</f>
        <v/>
      </c>
      <c r="N8" s="260" t="n">
        <v>30057.95</v>
      </c>
      <c r="O8" s="89">
        <f>SUM(N8/D8)</f>
        <v/>
      </c>
      <c r="P8" s="260" t="n">
        <v>15087.35</v>
      </c>
      <c r="Q8" s="89">
        <f>SUM(P8/D8)</f>
        <v/>
      </c>
      <c r="R8" s="130" t="n">
        <v>2249.8</v>
      </c>
      <c r="S8" s="26" t="n"/>
    </row>
    <row r="9" ht="15.6" customHeight="1">
      <c r="A9" s="409" t="inlineStr">
        <is>
          <t>Rosebank</t>
        </is>
      </c>
      <c r="B9" s="200">
        <f>'1 - 7 Feb 2021'!D9</f>
        <v/>
      </c>
      <c r="C9" s="73" t="n">
        <v>0</v>
      </c>
      <c r="D9" s="145" t="n">
        <v>198799.16</v>
      </c>
      <c r="E9" s="145" t="n">
        <v>378727.44</v>
      </c>
      <c r="F9" s="163">
        <f>IFERROR((SUM(D9-C9)/C9),0)</f>
        <v/>
      </c>
      <c r="G9" s="155">
        <f>IFERROR((SUM(D9-B9)/B9),0)</f>
        <v/>
      </c>
      <c r="H9" s="150" t="n">
        <v>776</v>
      </c>
      <c r="I9" s="63">
        <f>IFERROR(D9/H9,0)</f>
        <v/>
      </c>
      <c r="J9" s="61" t="n">
        <v>63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/>
      </c>
      <c r="M9" s="172">
        <f>IFERROR(L9/SUM(H9),0)</f>
        <v/>
      </c>
      <c r="N9" s="260" t="n">
        <v>18117.39</v>
      </c>
      <c r="O9" s="89">
        <f>SUM(N9/D9)</f>
        <v/>
      </c>
      <c r="P9" s="260" t="n">
        <v>12682.91</v>
      </c>
      <c r="Q9" s="89">
        <f>SUM(P9/D9)</f>
        <v/>
      </c>
      <c r="R9" s="130" t="n">
        <v>8770.9</v>
      </c>
      <c r="S9" s="26" t="n"/>
    </row>
    <row r="10" ht="15.6" customHeight="1">
      <c r="A10" s="411" t="inlineStr">
        <is>
          <t xml:space="preserve">Waterkloof </t>
        </is>
      </c>
      <c r="B10" s="200">
        <f>'1 - 7 Feb 2021'!D10</f>
        <v/>
      </c>
      <c r="C10" s="73" t="n">
        <v>182605.54</v>
      </c>
      <c r="D10" s="145" t="n">
        <v>135409.77</v>
      </c>
      <c r="E10" s="145" t="n">
        <v>244643.81</v>
      </c>
      <c r="F10" s="163">
        <f>IFERROR((SUM(D10-C10)/C10),0)</f>
        <v/>
      </c>
      <c r="G10" s="155">
        <f>IFERROR((SUM(D10-B10)/B10),0)</f>
        <v/>
      </c>
      <c r="H10" s="150" t="n">
        <v>471</v>
      </c>
      <c r="I10" s="63">
        <f>IFERROR(D10/H10,0)</f>
        <v/>
      </c>
      <c r="J10" s="61" t="n">
        <v>53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/>
      </c>
      <c r="M10" s="172">
        <f>IFERROR(L10/SUM(H10),0)</f>
        <v/>
      </c>
      <c r="N10" s="260" t="n">
        <v>24877.9</v>
      </c>
      <c r="O10" s="89">
        <f>SUM(N10/D10)</f>
        <v/>
      </c>
      <c r="P10" s="260" t="n">
        <v>17433.3</v>
      </c>
      <c r="Q10" s="89">
        <f>SUM(P10/D10)</f>
        <v/>
      </c>
      <c r="R10" s="130" t="n">
        <v>6770.4</v>
      </c>
      <c r="S10" s="26" t="n"/>
    </row>
    <row r="11" ht="15.6" customHeight="1">
      <c r="A11" s="409" t="inlineStr">
        <is>
          <t>Eagles Landing</t>
        </is>
      </c>
      <c r="B11" s="200">
        <f>'1 - 7 Feb 2021'!D11</f>
        <v/>
      </c>
      <c r="C11" s="73" t="n">
        <v>308009.72</v>
      </c>
      <c r="D11" s="145" t="n">
        <v>261595.82</v>
      </c>
      <c r="E11" s="145" t="n">
        <v>514958.97</v>
      </c>
      <c r="F11" s="163">
        <f>IFERROR((SUM(D11-C11)/C11),0)</f>
        <v/>
      </c>
      <c r="G11" s="155">
        <f>IFERROR((SUM(D11-B11)/B11),0)</f>
        <v/>
      </c>
      <c r="H11" s="150" t="n">
        <v>1002</v>
      </c>
      <c r="I11" s="63">
        <f>IFERROR(D11/H11,0)</f>
        <v/>
      </c>
      <c r="J11" s="61" t="n">
        <v>83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/>
      </c>
      <c r="M11" s="172">
        <f>IFERROR(L11/SUM(H11),0)</f>
        <v/>
      </c>
      <c r="N11" s="260" t="n">
        <v>40146.25</v>
      </c>
      <c r="O11" s="89">
        <f>SUM(N11/D11)</f>
        <v/>
      </c>
      <c r="P11" s="260" t="n">
        <v>23541.83</v>
      </c>
      <c r="Q11" s="89">
        <f>SUM(P11/D11)</f>
        <v/>
      </c>
      <c r="R11" s="130" t="n">
        <v>11362.4</v>
      </c>
      <c r="S11" s="26" t="n"/>
    </row>
    <row r="12" ht="15.6" customHeight="1">
      <c r="A12" s="198" t="inlineStr">
        <is>
          <t>Stellenbosch</t>
        </is>
      </c>
      <c r="B12" s="200">
        <f>'1 - 7 Feb 2021'!D12</f>
        <v/>
      </c>
      <c r="C12" s="73" t="n">
        <v>160405.7</v>
      </c>
      <c r="D12" s="145" t="n">
        <v>91358.63</v>
      </c>
      <c r="E12" s="145" t="n">
        <v>186284.25</v>
      </c>
      <c r="F12" s="163">
        <f>IFERROR((SUM(D12-C12)/C12),0)</f>
        <v/>
      </c>
      <c r="G12" s="155">
        <f>IFERROR((SUM(D12-B12)/B12),0)</f>
        <v/>
      </c>
      <c r="H12" s="150" t="n">
        <v>400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/>
      </c>
      <c r="M12" s="172">
        <f>IFERROR(L12/SUM(H12),0)</f>
        <v/>
      </c>
      <c r="N12" s="260" t="n">
        <v>15644.35</v>
      </c>
      <c r="O12" s="89">
        <f>SUM(N12/D12)</f>
        <v/>
      </c>
      <c r="P12" s="260" t="n">
        <v>6590.22</v>
      </c>
      <c r="Q12" s="89">
        <f>SUM(P12/D12)</f>
        <v/>
      </c>
      <c r="R12" s="130" t="n">
        <v>6680.5</v>
      </c>
      <c r="S12" s="26" t="n"/>
    </row>
    <row r="13" ht="15.6" customHeight="1">
      <c r="A13" s="198" t="inlineStr">
        <is>
          <t>Lynnwood</t>
        </is>
      </c>
      <c r="B13" s="200">
        <f>'1 - 7 Feb 2021'!D13</f>
        <v/>
      </c>
      <c r="C13" s="73" t="n">
        <v>212599.32</v>
      </c>
      <c r="D13" s="145" t="n">
        <v>177641.09</v>
      </c>
      <c r="E13" s="145" t="n">
        <v>349921.97</v>
      </c>
      <c r="F13" s="163">
        <f>IFERROR((SUM(D13-C13)/C13),0)</f>
        <v/>
      </c>
      <c r="G13" s="155">
        <f>IFERROR((SUM(D13-B13)/B13),0)</f>
        <v/>
      </c>
      <c r="H13" s="150" t="n">
        <v>672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/>
      </c>
      <c r="M13" s="172">
        <f>IFERROR(L13/SUM(H13),0)</f>
        <v/>
      </c>
      <c r="N13" s="260" t="n">
        <v>27144.48</v>
      </c>
      <c r="O13" s="89">
        <f>SUM(N13/D13)</f>
        <v/>
      </c>
      <c r="P13" s="260" t="n">
        <v>19981.69</v>
      </c>
      <c r="Q13" s="89">
        <f>SUM(P13/D13)</f>
        <v/>
      </c>
      <c r="R13" s="130" t="n">
        <v>2945</v>
      </c>
      <c r="S13" s="26" t="n"/>
    </row>
    <row r="14" hidden="1" ht="15.6" customHeight="1">
      <c r="A14" s="198" t="inlineStr">
        <is>
          <t>Wellington</t>
        </is>
      </c>
      <c r="B14" s="200">
        <f>'1 - 7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Feb 2021'!D15</f>
        <v/>
      </c>
      <c r="C15" s="73" t="n">
        <v>209317.26</v>
      </c>
      <c r="D15" s="145" t="n">
        <v>182308.79</v>
      </c>
      <c r="E15" s="145" t="n">
        <v>342537.75</v>
      </c>
      <c r="F15" s="163">
        <f>IFERROR((SUM(D15-C15)/C15),0)</f>
        <v/>
      </c>
      <c r="G15" s="155">
        <f>IFERROR((SUM(D15-B15)/B15),0)</f>
        <v/>
      </c>
      <c r="H15" s="150" t="n">
        <v>645</v>
      </c>
      <c r="I15" s="63">
        <f>IFERROR(D15/H15,0)</f>
        <v/>
      </c>
      <c r="J15" s="61" t="n">
        <v>48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14100.87</v>
      </c>
      <c r="Q15" s="89">
        <f>SUM(P15/D15)</f>
        <v/>
      </c>
      <c r="R15" s="130" t="n">
        <v>3573.2</v>
      </c>
      <c r="S15" s="9" t="n"/>
    </row>
    <row r="16" ht="15.6" customHeight="1">
      <c r="A16" s="198" t="inlineStr">
        <is>
          <t>Kyalami Corner</t>
        </is>
      </c>
      <c r="B16" s="200">
        <f>'1 - 7 Feb 2021'!D16</f>
        <v/>
      </c>
      <c r="C16" s="73" t="n">
        <v>180239.49</v>
      </c>
      <c r="D16" s="145" t="n">
        <v>129098.68</v>
      </c>
      <c r="E16" s="145" t="n">
        <v>232376.72</v>
      </c>
      <c r="F16" s="163">
        <f>IFERROR((SUM(D16-C16)/C16),0)</f>
        <v/>
      </c>
      <c r="G16" s="155">
        <f>IFERROR((SUM(D16-B16)/B16),0)</f>
        <v/>
      </c>
      <c r="H16" s="150" t="n">
        <v>494</v>
      </c>
      <c r="I16" s="63">
        <f>IFERROR(D16/H16,0)</f>
        <v/>
      </c>
      <c r="J16" s="61" t="n">
        <v>39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/>
      </c>
      <c r="M16" s="172">
        <f>IFERROR(L16/SUM(H16),0)</f>
        <v/>
      </c>
      <c r="N16" s="260" t="n">
        <v>18802.3</v>
      </c>
      <c r="O16" s="89">
        <f>SUM(N16/D16)</f>
        <v/>
      </c>
      <c r="P16" s="260" t="n">
        <v>16247.95</v>
      </c>
      <c r="Q16" s="89">
        <f>SUM(P16/D16)</f>
        <v/>
      </c>
      <c r="R16" s="130" t="n">
        <v>5813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Feb 2021'!D17</f>
        <v/>
      </c>
      <c r="C17" s="73" t="n">
        <v>209714.26</v>
      </c>
      <c r="D17" s="145" t="n">
        <v>160471.09</v>
      </c>
      <c r="E17" s="145" t="n">
        <v>313868.85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/>
      </c>
      <c r="M17" s="172">
        <f>IFERROR(L17/SUM(H17),0)</f>
        <v/>
      </c>
      <c r="N17" s="260" t="n">
        <v>39632.26</v>
      </c>
      <c r="O17" s="89">
        <f>SUM(N17/D17)</f>
        <v/>
      </c>
      <c r="P17" s="260" t="n">
        <v>5705.13</v>
      </c>
      <c r="Q17" s="89">
        <f>SUM(P17/D17)</f>
        <v/>
      </c>
      <c r="R17" s="130" t="n">
        <v>2829.45</v>
      </c>
      <c r="S17" s="9" t="n"/>
    </row>
    <row r="18" ht="15.6" customHeight="1">
      <c r="A18" s="198" t="inlineStr">
        <is>
          <t>Queenswood</t>
        </is>
      </c>
      <c r="B18" s="200">
        <f>'1 - 7 Feb 2021'!D18</f>
        <v/>
      </c>
      <c r="C18" s="73" t="n">
        <v>175278.96</v>
      </c>
      <c r="D18" s="145" t="n">
        <v>158619.59</v>
      </c>
      <c r="E18" s="145" t="n">
        <v>302736.93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/>
      </c>
      <c r="M18" s="172">
        <f>IFERROR(L18/SUM(H18),0)</f>
        <v/>
      </c>
      <c r="N18" s="260" t="n">
        <v>19819.25</v>
      </c>
      <c r="O18" s="89">
        <f>SUM(N18/D18)</f>
        <v/>
      </c>
      <c r="P18" s="260" t="n">
        <v>16149.78</v>
      </c>
      <c r="Q18" s="89">
        <f>SUM(P18/D18)</f>
        <v/>
      </c>
      <c r="R18" s="130" t="n">
        <v>5137.35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Feb 2021'!D6</f>
        <v/>
      </c>
      <c r="C6" s="255" t="n">
        <v>222785.95</v>
      </c>
      <c r="D6" s="197" t="n">
        <v>165200.45</v>
      </c>
      <c r="E6" s="197" t="n">
        <v>542098.1</v>
      </c>
      <c r="F6" s="162">
        <f>IFERROR((SUM(D6-C6)/C6),0)</f>
        <v/>
      </c>
      <c r="G6" s="154">
        <f>IFERROR((SUM(D6-B6)/B6),0)</f>
        <v/>
      </c>
      <c r="H6" s="149" t="n">
        <v>567</v>
      </c>
      <c r="I6" s="256">
        <f>IFERROR(D6/H6,0)</f>
        <v/>
      </c>
      <c r="J6" s="125" t="n">
        <v>79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/>
      </c>
      <c r="M6" s="171">
        <f>IFERROR(L6/SUM(H6),0)</f>
        <v/>
      </c>
      <c r="N6" s="259" t="n">
        <v>45175.22</v>
      </c>
      <c r="O6" s="128">
        <f>SUM(N6/D6)</f>
        <v/>
      </c>
      <c r="P6" s="260" t="n">
        <v>2808.35</v>
      </c>
      <c r="Q6" s="128">
        <f>SUM(P6/D6)</f>
        <v/>
      </c>
      <c r="R6" s="129" t="n">
        <v>7815</v>
      </c>
      <c r="S6" s="26" t="n"/>
    </row>
    <row r="7" ht="15.6" customHeight="1">
      <c r="A7" s="409" t="inlineStr">
        <is>
          <t>Melrose Arch</t>
        </is>
      </c>
      <c r="B7" s="200">
        <f>'8 - 14 Feb 2021'!D7</f>
        <v/>
      </c>
      <c r="C7" s="73" t="n">
        <v>232321.08</v>
      </c>
      <c r="D7" s="145" t="n">
        <v>184331.41</v>
      </c>
      <c r="E7" s="145" t="n">
        <v>505300.16</v>
      </c>
      <c r="F7" s="163">
        <f>IFERROR((SUM(D7-C7)/C7),0)</f>
        <v/>
      </c>
      <c r="G7" s="155">
        <f>IFERROR((SUM(D7-B7)/B7),0)</f>
        <v/>
      </c>
      <c r="H7" s="150" t="n">
        <v>598</v>
      </c>
      <c r="I7" s="63">
        <f>IFERROR(D7/H7,0)</f>
        <v/>
      </c>
      <c r="J7" s="61" t="n">
        <v>41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/>
      </c>
      <c r="M7" s="172">
        <f>IFERROR(L7/SUM(H7),0)</f>
        <v/>
      </c>
      <c r="N7" s="260" t="n">
        <v>14020.09</v>
      </c>
      <c r="O7" s="89">
        <f>SUM(N7/D7)</f>
        <v/>
      </c>
      <c r="P7" s="260" t="n">
        <v>9672.17</v>
      </c>
      <c r="Q7" s="89">
        <f>SUM(P7/D7)</f>
        <v/>
      </c>
      <c r="R7" s="130" t="n">
        <v>8864.15</v>
      </c>
      <c r="S7" s="26" t="n"/>
    </row>
    <row r="8" ht="15.6" customHeight="1">
      <c r="A8" s="409" t="inlineStr">
        <is>
          <t>Melville</t>
        </is>
      </c>
      <c r="B8" s="200">
        <f>'8 - 14 Feb 2021'!D8</f>
        <v/>
      </c>
      <c r="C8" s="73" t="n">
        <v>89875.17</v>
      </c>
      <c r="D8" s="145" t="n">
        <v>98951.05</v>
      </c>
      <c r="E8" s="145" t="n">
        <v>293594.51</v>
      </c>
      <c r="F8" s="163">
        <f>IFERROR((SUM(D8-C8)/C8),0)</f>
        <v/>
      </c>
      <c r="G8" s="155">
        <f>IFERROR((SUM(D8-B8)/B8),0)</f>
        <v/>
      </c>
      <c r="H8" s="150" t="n">
        <v>388</v>
      </c>
      <c r="I8" s="63">
        <f>IFERROR(D8/H8,0)</f>
        <v/>
      </c>
      <c r="J8" s="61" t="n">
        <v>40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/>
      </c>
      <c r="M8" s="172">
        <f>IFERROR(L8/SUM(H8),0)</f>
        <v/>
      </c>
      <c r="N8" s="260" t="n">
        <v>32574.59</v>
      </c>
      <c r="O8" s="89">
        <f>SUM(N8/D8)</f>
        <v/>
      </c>
      <c r="P8" s="260" t="n">
        <v>9733.299999999999</v>
      </c>
      <c r="Q8" s="89">
        <f>SUM(P8/D8)</f>
        <v/>
      </c>
      <c r="R8" s="130" t="n">
        <v>2858</v>
      </c>
      <c r="S8" s="26" t="n"/>
    </row>
    <row r="9" ht="15.6" customHeight="1">
      <c r="A9" s="409" t="inlineStr">
        <is>
          <t>Rosebank</t>
        </is>
      </c>
      <c r="B9" s="200">
        <f>'8 - 14 Feb 2021'!D9</f>
        <v/>
      </c>
      <c r="C9" s="73" t="n">
        <v>0</v>
      </c>
      <c r="D9" s="145" t="n">
        <v>162718.67</v>
      </c>
      <c r="E9" s="145" t="n">
        <v>541446.11</v>
      </c>
      <c r="F9" s="163">
        <f>IFERROR((SUM(D9-C9)/C9),0)</f>
        <v/>
      </c>
      <c r="G9" s="155">
        <f>IFERROR((SUM(D9-B9)/B9),0)</f>
        <v/>
      </c>
      <c r="H9" s="150" t="n">
        <v>669</v>
      </c>
      <c r="I9" s="63">
        <f>IFERROR(D9/H9,0)</f>
        <v/>
      </c>
      <c r="J9" s="61" t="n">
        <v>56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/>
      </c>
      <c r="M9" s="172">
        <f>IFERROR(L9/SUM(H9),0)</f>
        <v/>
      </c>
      <c r="N9" s="260" t="n">
        <v>14881.65</v>
      </c>
      <c r="O9" s="89">
        <f>SUM(N9/D9)</f>
        <v/>
      </c>
      <c r="P9" s="260" t="n">
        <v>10774.04</v>
      </c>
      <c r="Q9" s="89">
        <f>SUM(P9/D9)</f>
        <v/>
      </c>
      <c r="R9" s="130" t="n">
        <v>9068</v>
      </c>
      <c r="S9" s="26" t="n"/>
    </row>
    <row r="10" ht="15.6" customHeight="1">
      <c r="A10" s="411" t="inlineStr">
        <is>
          <t xml:space="preserve">Waterkloof </t>
        </is>
      </c>
      <c r="B10" s="200">
        <f>'8 - 14 Feb 2021'!D10</f>
        <v/>
      </c>
      <c r="C10" s="73" t="n">
        <v>172889.65</v>
      </c>
      <c r="D10" s="145" t="n">
        <v>122033.43</v>
      </c>
      <c r="E10" s="145" t="n">
        <v>366677.24</v>
      </c>
      <c r="F10" s="163">
        <f>IFERROR((SUM(D10-C10)/C10),0)</f>
        <v/>
      </c>
      <c r="G10" s="155">
        <f>IFERROR((SUM(D10-B10)/B10),0)</f>
        <v/>
      </c>
      <c r="H10" s="150" t="n">
        <v>469</v>
      </c>
      <c r="I10" s="63">
        <f>IFERROR(D10/H10,0)</f>
        <v/>
      </c>
      <c r="J10" s="61" t="n">
        <v>56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/>
      </c>
      <c r="M10" s="172">
        <f>IFERROR(L10/SUM(H10),0)</f>
        <v/>
      </c>
      <c r="N10" s="260" t="n">
        <v>24767.77</v>
      </c>
      <c r="O10" s="89">
        <f>SUM(N10/D10)</f>
        <v/>
      </c>
      <c r="P10" s="260" t="n">
        <v>15792.35</v>
      </c>
      <c r="Q10" s="89">
        <f>SUM(P10/D10)</f>
        <v/>
      </c>
      <c r="R10" s="130" t="n">
        <v>4236.4</v>
      </c>
      <c r="S10" s="26" t="n"/>
    </row>
    <row r="11" ht="15.6" customHeight="1">
      <c r="A11" s="409" t="inlineStr">
        <is>
          <t>Eagles Landing</t>
        </is>
      </c>
      <c r="B11" s="200">
        <f>'8 - 14 Feb 2021'!D11</f>
        <v/>
      </c>
      <c r="C11" s="73" t="n">
        <v>295782.3</v>
      </c>
      <c r="D11" s="145" t="n">
        <v>221002.14</v>
      </c>
      <c r="E11" s="145" t="n">
        <v>735961.11</v>
      </c>
      <c r="F11" s="163">
        <f>IFERROR((SUM(D11-C11)/C11),0)</f>
        <v/>
      </c>
      <c r="G11" s="155">
        <f>IFERROR((SUM(D11-B11)/B11),0)</f>
        <v/>
      </c>
      <c r="H11" s="150" t="n">
        <v>877</v>
      </c>
      <c r="I11" s="63">
        <f>IFERROR(D11/H11,0)</f>
        <v/>
      </c>
      <c r="J11" s="61" t="n">
        <v>61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/>
      </c>
      <c r="M11" s="172">
        <f>IFERROR(L11/SUM(H11),0)</f>
        <v/>
      </c>
      <c r="N11" s="260" t="n">
        <v>38122.22</v>
      </c>
      <c r="O11" s="89">
        <f>SUM(N11/D11)</f>
        <v/>
      </c>
      <c r="P11" s="260" t="n">
        <v>20189.57</v>
      </c>
      <c r="Q11" s="89">
        <f>SUM(P11/D11)</f>
        <v/>
      </c>
      <c r="R11" s="130" t="n">
        <v>9517</v>
      </c>
      <c r="S11" s="26" t="n"/>
    </row>
    <row r="12" ht="15.6" customHeight="1">
      <c r="A12" s="198" t="inlineStr">
        <is>
          <t>Stellenbosch</t>
        </is>
      </c>
      <c r="B12" s="200">
        <f>'8 - 14 Feb 2021'!D12</f>
        <v/>
      </c>
      <c r="C12" s="73" t="n">
        <v>155166.48</v>
      </c>
      <c r="D12" s="145" t="n">
        <v>88183.52</v>
      </c>
      <c r="E12" s="145" t="n">
        <v>274467.77</v>
      </c>
      <c r="F12" s="163">
        <f>IFERROR((SUM(D12-C12)/C12),0)</f>
        <v/>
      </c>
      <c r="G12" s="155">
        <f>IFERROR((SUM(D12-B12)/B12),0)</f>
        <v/>
      </c>
      <c r="H12" s="150" t="n">
        <v>368</v>
      </c>
      <c r="I12" s="63">
        <f>IFERROR(D12/H12,0)</f>
        <v/>
      </c>
      <c r="J12" s="61" t="n">
        <v>35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/>
      </c>
      <c r="M12" s="172">
        <f>IFERROR(L12/SUM(H12),0)</f>
        <v/>
      </c>
      <c r="N12" s="260" t="n">
        <v>17750.96</v>
      </c>
      <c r="O12" s="89">
        <f>SUM(N12/D12)</f>
        <v/>
      </c>
      <c r="P12" s="260" t="n">
        <v>5113.48</v>
      </c>
      <c r="Q12" s="89">
        <f>SUM(P12/D12)</f>
        <v/>
      </c>
      <c r="R12" s="130" t="n">
        <v>6714</v>
      </c>
      <c r="S12" s="26" t="n"/>
    </row>
    <row r="13" ht="15.6" customHeight="1">
      <c r="A13" s="198" t="inlineStr">
        <is>
          <t>Lynnwood</t>
        </is>
      </c>
      <c r="B13" s="200">
        <f>'8 - 14 Feb 2021'!D13</f>
        <v/>
      </c>
      <c r="C13" s="73" t="n">
        <v>207016.53</v>
      </c>
      <c r="D13" s="145" t="n">
        <v>149010.02</v>
      </c>
      <c r="E13" s="145" t="n">
        <v>498931.99</v>
      </c>
      <c r="F13" s="163">
        <f>IFERROR((SUM(D13-C13)/C13),0)</f>
        <v/>
      </c>
      <c r="G13" s="155">
        <f>IFERROR((SUM(D13-B13)/B13),0)</f>
        <v/>
      </c>
      <c r="H13" s="150" t="n">
        <v>627</v>
      </c>
      <c r="I13" s="63">
        <f>IFERROR(D13/H13,0)</f>
        <v/>
      </c>
      <c r="J13" s="61" t="n">
        <v>33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/>
      </c>
      <c r="M13" s="172">
        <f>IFERROR(L13/SUM(H13),0)</f>
        <v/>
      </c>
      <c r="N13" s="260" t="n">
        <v>26042.39</v>
      </c>
      <c r="O13" s="89">
        <f>SUM(N13/D13)</f>
        <v/>
      </c>
      <c r="P13" s="260" t="n">
        <v>16887.3</v>
      </c>
      <c r="Q13" s="89">
        <f>SUM(P13/D13)</f>
        <v/>
      </c>
      <c r="R13" s="130" t="n">
        <v>1650</v>
      </c>
      <c r="S13" s="26" t="n"/>
    </row>
    <row r="14" hidden="1" ht="15.6" customHeight="1">
      <c r="A14" s="198" t="inlineStr">
        <is>
          <t>Wellington</t>
        </is>
      </c>
      <c r="B14" s="200">
        <f>'8 - 14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Feb 2021'!D15</f>
        <v/>
      </c>
      <c r="C15" s="73" t="n">
        <v>186665.69</v>
      </c>
      <c r="D15" s="145" t="n">
        <v>156007.67</v>
      </c>
      <c r="E15" s="145" t="n">
        <v>498545.42</v>
      </c>
      <c r="F15" s="163">
        <f>IFERROR((SUM(D15-C15)/C15),0)</f>
        <v/>
      </c>
      <c r="G15" s="155">
        <f>IFERROR((SUM(D15-B15)/B15),0)</f>
        <v/>
      </c>
      <c r="H15" s="150" t="n">
        <v>544</v>
      </c>
      <c r="I15" s="63">
        <f>IFERROR(D15/H15,0)</f>
        <v/>
      </c>
      <c r="J15" s="61" t="n">
        <v>35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17506.09</v>
      </c>
      <c r="Q15" s="89">
        <f>SUM(P15/D15)</f>
        <v/>
      </c>
      <c r="R15" s="130" t="n">
        <v>4019.2</v>
      </c>
      <c r="S15" s="9" t="n"/>
    </row>
    <row r="16" ht="15.6" customHeight="1">
      <c r="A16" s="198" t="inlineStr">
        <is>
          <t>Kyalami Corner</t>
        </is>
      </c>
      <c r="B16" s="200">
        <f>'8 - 14 Feb 2021'!D16</f>
        <v/>
      </c>
      <c r="C16" s="73" t="n">
        <v>120536.7</v>
      </c>
      <c r="D16" s="145" t="n">
        <v>102794.63</v>
      </c>
      <c r="E16" s="145" t="n">
        <v>335171.35</v>
      </c>
      <c r="F16" s="163">
        <f>IFERROR((SUM(D16-C16)/C16),0)</f>
        <v/>
      </c>
      <c r="G16" s="155">
        <f>IFERROR((SUM(D16-B16)/B16),0)</f>
        <v/>
      </c>
      <c r="H16" s="150" t="n">
        <v>420</v>
      </c>
      <c r="I16" s="63">
        <f>IFERROR(D16/H16,0)</f>
        <v/>
      </c>
      <c r="J16" s="61" t="n">
        <v>50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/>
      </c>
      <c r="M16" s="172">
        <f>IFERROR(L16/SUM(H16),0)</f>
        <v/>
      </c>
      <c r="N16" s="260" t="n">
        <v>20373.22</v>
      </c>
      <c r="O16" s="89">
        <f>SUM(N16/D16)</f>
        <v/>
      </c>
      <c r="P16" s="260" t="n">
        <v>13660.52</v>
      </c>
      <c r="Q16" s="89">
        <f>SUM(P16/D16)</f>
        <v/>
      </c>
      <c r="R16" s="130" t="n">
        <v>5176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Feb 2021'!D17</f>
        <v/>
      </c>
      <c r="C17" s="73" t="n">
        <v>194445.82</v>
      </c>
      <c r="D17" s="145" t="n">
        <v>154232.44</v>
      </c>
      <c r="E17" s="145" t="n">
        <v>468101.29</v>
      </c>
      <c r="F17" s="163">
        <f>IFERROR((SUM(D17-C17)/C17),0)</f>
        <v/>
      </c>
      <c r="G17" s="155">
        <f>IFERROR((SUM(D17-B17)/B17),0)</f>
        <v/>
      </c>
      <c r="H17" s="150" t="n">
        <v>630</v>
      </c>
      <c r="I17" s="63">
        <f>IFERROR(D17/H17,0)</f>
        <v/>
      </c>
      <c r="J17" s="61" t="n">
        <v>47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/>
      </c>
      <c r="M17" s="172">
        <f>IFERROR(L17/SUM(H17),0)</f>
        <v/>
      </c>
      <c r="N17" s="260" t="n">
        <v>28045.09</v>
      </c>
      <c r="O17" s="89">
        <f>SUM(N17/D17)</f>
        <v/>
      </c>
      <c r="P17" s="260" t="n">
        <v>10643.82</v>
      </c>
      <c r="Q17" s="89">
        <f>SUM(P17/D17)</f>
        <v/>
      </c>
      <c r="R17" s="130" t="n">
        <v>2729.3</v>
      </c>
      <c r="S17" s="9" t="n"/>
    </row>
    <row r="18" ht="15.6" customHeight="1">
      <c r="A18" s="198" t="inlineStr">
        <is>
          <t>Queenswood</t>
        </is>
      </c>
      <c r="B18" s="200">
        <f>'8 - 14 Feb 2021'!D18</f>
        <v/>
      </c>
      <c r="C18" s="73" t="n">
        <v>165432.56</v>
      </c>
      <c r="D18" s="145" t="n">
        <v>137658.71</v>
      </c>
      <c r="E18" s="145" t="n">
        <v>440395.64</v>
      </c>
      <c r="F18" s="163">
        <f>IFERROR((SUM(D18-C18)/C18),0)</f>
        <v/>
      </c>
      <c r="G18" s="155">
        <f>IFERROR((SUM(D18-B18)/B18),0)</f>
        <v/>
      </c>
      <c r="H18" s="150" t="n">
        <v>554</v>
      </c>
      <c r="I18" s="258">
        <f>IFERROR(D18/H18,0)</f>
        <v/>
      </c>
      <c r="J18" s="61" t="n">
        <v>29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/>
      </c>
      <c r="M18" s="172">
        <f>IFERROR(L18/SUM(H18),0)</f>
        <v/>
      </c>
      <c r="N18" s="260" t="n">
        <v>22224.96</v>
      </c>
      <c r="O18" s="89">
        <f>SUM(N18/D18)</f>
        <v/>
      </c>
      <c r="P18" s="260" t="n">
        <v>14190.41</v>
      </c>
      <c r="Q18" s="89">
        <f>SUM(P18/D18)</f>
        <v/>
      </c>
      <c r="R18" s="130" t="n">
        <v>5050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Feb 2021'!D6</f>
        <v/>
      </c>
      <c r="C6" s="255" t="n">
        <v>230798.84</v>
      </c>
      <c r="D6" s="197" t="n">
        <v>196903.92</v>
      </c>
      <c r="E6" s="197" t="n">
        <v>739002.02</v>
      </c>
      <c r="F6" s="162">
        <f>IFERROR((SUM(D6-C6)/C6),0)</f>
        <v/>
      </c>
      <c r="G6" s="154">
        <f>IFERROR((SUM(D6-B6)/B6),0)</f>
        <v/>
      </c>
      <c r="H6" s="149" t="n">
        <v>662</v>
      </c>
      <c r="I6" s="256">
        <f>IFERROR(D6/H6,0)</f>
        <v/>
      </c>
      <c r="J6" s="125" t="n">
        <v>56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/>
      </c>
      <c r="M6" s="171">
        <f>IFERROR(L6/SUM(H6),0)</f>
        <v/>
      </c>
      <c r="N6" s="259" t="n">
        <v>50566.13</v>
      </c>
      <c r="O6" s="128">
        <f>SUM(N6/D6)</f>
        <v/>
      </c>
      <c r="P6" s="260" t="n">
        <v>185</v>
      </c>
      <c r="Q6" s="128">
        <f>SUM(P6/D6)</f>
        <v/>
      </c>
      <c r="R6" s="129" t="n">
        <v>8944.780000000001</v>
      </c>
      <c r="S6" s="26" t="n"/>
    </row>
    <row r="7" ht="15.6" customHeight="1">
      <c r="A7" s="409" t="inlineStr">
        <is>
          <t>Melrose Arch</t>
        </is>
      </c>
      <c r="B7" s="200">
        <f>'15 - 21 Feb 2021'!D7</f>
        <v/>
      </c>
      <c r="C7" s="73" t="n">
        <v>228520.15</v>
      </c>
      <c r="D7" s="145" t="n">
        <v>173960.86</v>
      </c>
      <c r="E7" s="145" t="n">
        <v>679261.02</v>
      </c>
      <c r="F7" s="163">
        <f>IFERROR((SUM(D7-C7)/C7),0)</f>
        <v/>
      </c>
      <c r="G7" s="155">
        <f>IFERROR((SUM(D7-B7)/B7),0)</f>
        <v/>
      </c>
      <c r="H7" s="150" t="n">
        <v>634</v>
      </c>
      <c r="I7" s="63">
        <f>IFERROR(D7/H7,0)</f>
        <v/>
      </c>
      <c r="J7" s="61" t="n">
        <v>46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/>
      </c>
      <c r="M7" s="172">
        <f>IFERROR(L7/SUM(H7),0)</f>
        <v/>
      </c>
      <c r="N7" s="260" t="n">
        <v>17309.57</v>
      </c>
      <c r="O7" s="89">
        <f>SUM(N7/D7)</f>
        <v/>
      </c>
      <c r="P7" s="260" t="n">
        <v>11723.04</v>
      </c>
      <c r="Q7" s="89">
        <f>SUM(P7/D7)</f>
        <v/>
      </c>
      <c r="R7" s="130" t="n">
        <v>7366.45</v>
      </c>
      <c r="S7" s="26" t="n"/>
    </row>
    <row r="8" ht="15.6" customHeight="1">
      <c r="A8" s="409" t="inlineStr">
        <is>
          <t>Melville</t>
        </is>
      </c>
      <c r="B8" s="200">
        <f>'15 - 21 Feb 2021'!D8</f>
        <v/>
      </c>
      <c r="C8" s="73" t="n">
        <v>118987.48</v>
      </c>
      <c r="D8" s="145" t="n">
        <v>111469.73</v>
      </c>
      <c r="E8" s="145" t="n">
        <v>405064.24</v>
      </c>
      <c r="F8" s="163">
        <f>IFERROR((SUM(D8-C8)/C8),0)</f>
        <v/>
      </c>
      <c r="G8" s="155">
        <f>IFERROR((SUM(D8-B8)/B8),0)</f>
        <v/>
      </c>
      <c r="H8" s="150" t="n">
        <v>432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/>
      </c>
      <c r="M8" s="172">
        <f>IFERROR(L8/SUM(H8),0)</f>
        <v/>
      </c>
      <c r="N8" s="260" t="n">
        <v>33563.24</v>
      </c>
      <c r="O8" s="89">
        <f>SUM(N8/D8)</f>
        <v/>
      </c>
      <c r="P8" s="260" t="n">
        <v>11781.91</v>
      </c>
      <c r="Q8" s="89">
        <f>SUM(P8/D8)</f>
        <v/>
      </c>
      <c r="R8" s="130" t="n">
        <v>2092</v>
      </c>
      <c r="S8" s="26" t="n"/>
    </row>
    <row r="9" ht="15.6" customHeight="1">
      <c r="A9" s="409" t="inlineStr">
        <is>
          <t>Rosebank</t>
        </is>
      </c>
      <c r="B9" s="200">
        <f>'15 - 21 Feb 2021'!D9</f>
        <v/>
      </c>
      <c r="C9" s="73" t="n">
        <v>0</v>
      </c>
      <c r="D9" s="145" t="n">
        <v>190614.69</v>
      </c>
      <c r="E9" s="145" t="n">
        <v>732060.8</v>
      </c>
      <c r="F9" s="163">
        <f>IFERROR((SUM(D9-C9)/C9),0)</f>
        <v/>
      </c>
      <c r="G9" s="155">
        <f>IFERROR((SUM(D9-B9)/B9),0)</f>
        <v/>
      </c>
      <c r="H9" s="150" t="n">
        <v>732</v>
      </c>
      <c r="I9" s="63">
        <f>IFERROR(D9/H9,0)</f>
        <v/>
      </c>
      <c r="J9" s="61" t="n">
        <v>86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/>
      </c>
      <c r="M9" s="172">
        <f>IFERROR(L9/SUM(H9),0)</f>
        <v/>
      </c>
      <c r="N9" s="260" t="n">
        <v>16250.48</v>
      </c>
      <c r="O9" s="89">
        <f>SUM(N9/D9)</f>
        <v/>
      </c>
      <c r="P9" s="260" t="n">
        <v>13086.52</v>
      </c>
      <c r="Q9" s="89">
        <f>SUM(P9/D9)</f>
        <v/>
      </c>
      <c r="R9" s="130" t="n">
        <v>11567</v>
      </c>
      <c r="S9" s="26" t="n"/>
    </row>
    <row r="10" ht="15.6" customHeight="1">
      <c r="A10" s="411" t="inlineStr">
        <is>
          <t xml:space="preserve">Waterkloof </t>
        </is>
      </c>
      <c r="B10" s="200">
        <f>'15 - 21 Feb 2021'!D10</f>
        <v/>
      </c>
      <c r="C10" s="73" t="n">
        <v>180376.85</v>
      </c>
      <c r="D10" s="145" t="n">
        <v>116160.61</v>
      </c>
      <c r="E10" s="145" t="n">
        <v>482837.85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/>
      </c>
      <c r="M10" s="172">
        <f>IFERROR(L10/SUM(H10),0)</f>
        <v/>
      </c>
      <c r="N10" s="260" t="n">
        <v>20071.73</v>
      </c>
      <c r="O10" s="89">
        <f>SUM(N10/D10)</f>
        <v/>
      </c>
      <c r="P10" s="260" t="n">
        <v>20631.65</v>
      </c>
      <c r="Q10" s="89">
        <f>SUM(P10/D10)</f>
        <v/>
      </c>
      <c r="R10" s="130" t="n">
        <v>4575</v>
      </c>
      <c r="S10" s="26" t="n"/>
    </row>
    <row r="11" ht="15.6" customHeight="1">
      <c r="A11" s="409" t="inlineStr">
        <is>
          <t>Eagles Landing</t>
        </is>
      </c>
      <c r="B11" s="200">
        <f>'15 - 21 Feb 2021'!D11</f>
        <v/>
      </c>
      <c r="C11" s="73" t="n">
        <v>300655.83</v>
      </c>
      <c r="D11" s="145" t="n">
        <v>254389.59</v>
      </c>
      <c r="E11" s="145" t="n">
        <v>990350.7</v>
      </c>
      <c r="F11" s="163">
        <f>IFERROR((SUM(D11-C11)/C11),0)</f>
        <v/>
      </c>
      <c r="G11" s="155">
        <f>IFERROR((SUM(D11-B11)/B11),0)</f>
        <v/>
      </c>
      <c r="H11" s="150" t="n">
        <v>912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/>
      </c>
      <c r="M11" s="172">
        <f>IFERROR(L11/SUM(H11),0)</f>
        <v/>
      </c>
      <c r="N11" s="260" t="n">
        <v>34305.78</v>
      </c>
      <c r="O11" s="89">
        <f>SUM(N11/D11)</f>
        <v/>
      </c>
      <c r="P11" s="260" t="n">
        <v>20423.13</v>
      </c>
      <c r="Q11" s="89">
        <f>SUM(P11/D11)</f>
        <v/>
      </c>
      <c r="R11" s="130" t="n">
        <v>13760.8</v>
      </c>
      <c r="S11" s="26" t="n"/>
    </row>
    <row r="12" ht="15.6" customHeight="1">
      <c r="A12" s="198" t="inlineStr">
        <is>
          <t>Stellenbosch</t>
        </is>
      </c>
      <c r="B12" s="200">
        <f>'15 - 21 Feb 2021'!D12</f>
        <v/>
      </c>
      <c r="C12" s="73" t="n">
        <v>152782.65</v>
      </c>
      <c r="D12" s="145" t="n">
        <v>107281.25</v>
      </c>
      <c r="E12" s="145" t="n">
        <v>381749.02</v>
      </c>
      <c r="F12" s="163">
        <f>IFERROR((SUM(D12-C12)/C12),0)</f>
        <v/>
      </c>
      <c r="G12" s="155">
        <f>IFERROR((SUM(D12-B12)/B12),0)</f>
        <v/>
      </c>
      <c r="H12" s="150" t="n">
        <v>414</v>
      </c>
      <c r="I12" s="63">
        <f>IFERROR(D12/H12,0)</f>
        <v/>
      </c>
      <c r="J12" s="61" t="n">
        <v>58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/>
      </c>
      <c r="M12" s="172">
        <f>IFERROR(L12/SUM(H12),0)</f>
        <v/>
      </c>
      <c r="N12" s="260" t="n">
        <v>15685.22</v>
      </c>
      <c r="O12" s="89">
        <f>SUM(N12/D12)</f>
        <v/>
      </c>
      <c r="P12" s="260" t="n">
        <v>9390.85</v>
      </c>
      <c r="Q12" s="89">
        <f>SUM(P12/D12)</f>
        <v/>
      </c>
      <c r="R12" s="130" t="n">
        <v>6698</v>
      </c>
      <c r="S12" s="26" t="n"/>
    </row>
    <row r="13" ht="15.6" customHeight="1">
      <c r="A13" s="198" t="inlineStr">
        <is>
          <t>Lynnwood</t>
        </is>
      </c>
      <c r="B13" s="200">
        <f>'15 - 21 Feb 2021'!D13</f>
        <v/>
      </c>
      <c r="C13" s="73" t="n">
        <v>243304.13</v>
      </c>
      <c r="D13" s="145" t="n">
        <v>205505.59</v>
      </c>
      <c r="E13" s="145" t="n">
        <v>704437.58</v>
      </c>
      <c r="F13" s="163">
        <f>IFERROR((SUM(D13-C13)/C13),0)</f>
        <v/>
      </c>
      <c r="G13" s="155">
        <f>IFERROR((SUM(D13-B13)/B13),0)</f>
        <v/>
      </c>
      <c r="H13" s="150" t="n">
        <v>769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/>
      </c>
      <c r="M13" s="172">
        <f>IFERROR(L13/SUM(H13),0)</f>
        <v/>
      </c>
      <c r="N13" s="260" t="n">
        <v>32826.3</v>
      </c>
      <c r="O13" s="89">
        <f>SUM(N13/D13)</f>
        <v/>
      </c>
      <c r="P13" s="260" t="n">
        <v>21052.98</v>
      </c>
      <c r="Q13" s="89">
        <f>SUM(P13/D13)</f>
        <v/>
      </c>
      <c r="R13" s="130" t="n">
        <v>4157</v>
      </c>
      <c r="S13" s="26" t="n"/>
    </row>
    <row r="14" hidden="1" ht="15.6" customHeight="1">
      <c r="A14" s="198" t="inlineStr">
        <is>
          <t>Wellington</t>
        </is>
      </c>
      <c r="B14" s="200">
        <f>'15 - 21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Feb 2021'!D15</f>
        <v/>
      </c>
      <c r="C15" s="73" t="n">
        <v>176302.74</v>
      </c>
      <c r="D15" s="145" t="n">
        <v>183950.38</v>
      </c>
      <c r="E15" s="145" t="n">
        <v>682495.8</v>
      </c>
      <c r="F15" s="163">
        <f>IFERROR((SUM(D15-C15)/C15),0)</f>
        <v/>
      </c>
      <c r="G15" s="155">
        <f>IFERROR((SUM(D15-B15)/B15),0)</f>
        <v/>
      </c>
      <c r="H15" s="150" t="n">
        <v>609</v>
      </c>
      <c r="I15" s="63">
        <f>IFERROR(D15/H15,0)</f>
        <v/>
      </c>
      <c r="J15" s="61" t="n">
        <v>46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17211.65</v>
      </c>
      <c r="Q15" s="89">
        <f>SUM(P15/D15)</f>
        <v/>
      </c>
      <c r="R15" s="130" t="n">
        <v>4242.3</v>
      </c>
      <c r="S15" s="9" t="n"/>
    </row>
    <row r="16" ht="15.6" customHeight="1">
      <c r="A16" s="198" t="inlineStr">
        <is>
          <t>Kyalami Corner</t>
        </is>
      </c>
      <c r="B16" s="200">
        <f>'15 - 21 Feb 2021'!D16</f>
        <v/>
      </c>
      <c r="C16" s="73" t="n">
        <v>133954.56</v>
      </c>
      <c r="D16" s="145" t="n">
        <v>124746.86</v>
      </c>
      <c r="E16" s="145" t="n">
        <v>459918.21</v>
      </c>
      <c r="F16" s="163">
        <f>IFERROR((SUM(D16-C16)/C16),0)</f>
        <v/>
      </c>
      <c r="G16" s="155">
        <f>IFERROR((SUM(D16-B16)/B16),0)</f>
        <v/>
      </c>
      <c r="H16" s="150" t="n">
        <v>451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/>
      </c>
      <c r="M16" s="172">
        <f>IFERROR(L16/SUM(H16),0)</f>
        <v/>
      </c>
      <c r="N16" s="260" t="n">
        <v>19376.91</v>
      </c>
      <c r="O16" s="89">
        <f>SUM(N16/D16)</f>
        <v/>
      </c>
      <c r="P16" s="260" t="n">
        <v>18206.56</v>
      </c>
      <c r="Q16" s="89">
        <f>SUM(P16/D16)</f>
        <v/>
      </c>
      <c r="R16" s="130" t="n">
        <v>6053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Feb 2021'!D17</f>
        <v/>
      </c>
      <c r="C17" s="73" t="n">
        <v>200596.69</v>
      </c>
      <c r="D17" s="145" t="n">
        <v>149742.83</v>
      </c>
      <c r="E17" s="145" t="n">
        <v>617844.12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52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/>
      </c>
      <c r="M17" s="172">
        <f>IFERROR(L17/SUM(H17),0)</f>
        <v/>
      </c>
      <c r="N17" s="260" t="n">
        <v>31006.83</v>
      </c>
      <c r="O17" s="89">
        <f>SUM(N17/D17)</f>
        <v/>
      </c>
      <c r="P17" s="260" t="n">
        <v>13925.04</v>
      </c>
      <c r="Q17" s="89">
        <f>SUM(P17/D17)</f>
        <v/>
      </c>
      <c r="R17" s="130" t="n">
        <v>4425</v>
      </c>
      <c r="S17" s="9" t="n"/>
    </row>
    <row r="18" ht="15.6" customHeight="1">
      <c r="A18" s="198" t="inlineStr">
        <is>
          <t>Queenswood</t>
        </is>
      </c>
      <c r="B18" s="200">
        <f>'15 - 21 Feb 2021'!D18</f>
        <v/>
      </c>
      <c r="C18" s="73" t="n">
        <v>186259.82</v>
      </c>
      <c r="D18" s="145" t="n">
        <v>167359.84</v>
      </c>
      <c r="E18" s="145" t="n">
        <v>607755.48</v>
      </c>
      <c r="F18" s="163">
        <f>IFERROR((SUM(D18-C18)/C18),0)</f>
        <v/>
      </c>
      <c r="G18" s="155">
        <f>IFERROR((SUM(D18-B18)/B18),0)</f>
        <v/>
      </c>
      <c r="H18" s="150" t="n">
        <v>674</v>
      </c>
      <c r="I18" s="258">
        <f>IFERROR(D18/H18,0)</f>
        <v/>
      </c>
      <c r="J18" s="61" t="n">
        <v>85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/>
      </c>
      <c r="M18" s="172">
        <f>IFERROR(L18/SUM(H18),0)</f>
        <v/>
      </c>
      <c r="N18" s="260" t="n">
        <v>32064.64</v>
      </c>
      <c r="O18" s="89">
        <f>SUM(N18/D18)</f>
        <v/>
      </c>
      <c r="P18" s="260" t="n">
        <v>10668.39</v>
      </c>
      <c r="Q18" s="89">
        <f>SUM(P18/D18)</f>
        <v/>
      </c>
      <c r="R18" s="130" t="n">
        <v>8118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Feb 2021'!D6</f>
        <v/>
      </c>
      <c r="C6" s="255" t="n">
        <v>224764.48</v>
      </c>
      <c r="D6" s="197" t="n">
        <v>183695.37</v>
      </c>
      <c r="E6" s="129" t="n">
        <v>183695.37</v>
      </c>
      <c r="F6" s="162">
        <f>IFERROR((SUM(D6-C6)/C6),0)</f>
        <v/>
      </c>
      <c r="G6" s="154">
        <f>IFERROR((SUM(D6-B6)/B6),0)</f>
        <v/>
      </c>
      <c r="H6" s="149" t="n">
        <v>686</v>
      </c>
      <c r="I6" s="256">
        <f>IFERROR(D6/H6,0)</f>
        <v/>
      </c>
      <c r="J6" s="125" t="n">
        <v>69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/>
      </c>
      <c r="M6" s="171">
        <f>IFERROR(L6/SUM(H6),0)</f>
        <v/>
      </c>
      <c r="N6" s="259" t="n">
        <v>44480.43</v>
      </c>
      <c r="O6" s="128">
        <f>SUM(N6/D6)</f>
        <v/>
      </c>
      <c r="P6" s="260" t="n">
        <v>1220.52</v>
      </c>
      <c r="Q6" s="128">
        <f>SUM(P6/D6)</f>
        <v/>
      </c>
      <c r="R6" s="129" t="n">
        <v>8075</v>
      </c>
      <c r="S6" s="26" t="n"/>
    </row>
    <row r="7" ht="15.6" customHeight="1">
      <c r="A7" s="409" t="inlineStr">
        <is>
          <t>Melrose Arch</t>
        </is>
      </c>
      <c r="B7" s="200">
        <f>'22 - 28 Feb 2021'!D7</f>
        <v/>
      </c>
      <c r="C7" s="73" t="n">
        <v>216682.01</v>
      </c>
      <c r="D7" s="145" t="n">
        <v>174386.29</v>
      </c>
      <c r="E7" s="145" t="n">
        <v>174386.29</v>
      </c>
      <c r="F7" s="163">
        <f>IFERROR((SUM(D7-C7)/C7),0)</f>
        <v/>
      </c>
      <c r="G7" s="155">
        <f>IFERROR((SUM(D7-B7)/B7),0)</f>
        <v/>
      </c>
      <c r="H7" s="150" t="n">
        <v>636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/>
      </c>
      <c r="M7" s="172">
        <f>IFERROR(L7/SUM(H7),0)</f>
        <v/>
      </c>
      <c r="N7" s="260" t="n">
        <v>17109.17</v>
      </c>
      <c r="O7" s="89">
        <f>SUM(N7/D7)</f>
        <v/>
      </c>
      <c r="P7" s="260" t="n">
        <v>14046.96</v>
      </c>
      <c r="Q7" s="89">
        <f>SUM(P7/D7)</f>
        <v/>
      </c>
      <c r="R7" s="130" t="n">
        <v>6265.05</v>
      </c>
      <c r="S7" s="26" t="n"/>
    </row>
    <row r="8" ht="15.6" customHeight="1">
      <c r="A8" s="409" t="inlineStr">
        <is>
          <t>Melville</t>
        </is>
      </c>
      <c r="B8" s="200">
        <f>'22 - 28 Feb 2021'!D8</f>
        <v/>
      </c>
      <c r="C8" s="73" t="n">
        <v>106995.52</v>
      </c>
      <c r="D8" s="145" t="n">
        <v>115000.01</v>
      </c>
      <c r="E8" s="145" t="n">
        <v>115000.01</v>
      </c>
      <c r="F8" s="163">
        <f>IFERROR((SUM(D8-C8)/C8),0)</f>
        <v/>
      </c>
      <c r="G8" s="155">
        <f>IFERROR((SUM(D8-B8)/B8),0)</f>
        <v/>
      </c>
      <c r="H8" s="150" t="n">
        <v>483</v>
      </c>
      <c r="I8" s="63">
        <f>IFERROR(D8/H8,0)</f>
        <v/>
      </c>
      <c r="J8" s="61" t="n">
        <v>62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/>
      </c>
      <c r="M8" s="172">
        <f>IFERROR(L8/SUM(H8),0)</f>
        <v/>
      </c>
      <c r="N8" s="260" t="n">
        <v>39515.75</v>
      </c>
      <c r="O8" s="89">
        <f>SUM(N8/D8)</f>
        <v/>
      </c>
      <c r="P8" s="260" t="n">
        <v>8608</v>
      </c>
      <c r="Q8" s="89">
        <f>SUM(P8/D8)</f>
        <v/>
      </c>
      <c r="R8" s="130" t="n">
        <v>5219.15</v>
      </c>
      <c r="S8" s="26" t="n"/>
    </row>
    <row r="9" ht="15.6" customHeight="1">
      <c r="A9" s="409" t="inlineStr">
        <is>
          <t>Rosebank</t>
        </is>
      </c>
      <c r="B9" s="200">
        <f>'22 - 28 Feb 2021'!D9</f>
        <v/>
      </c>
      <c r="C9" s="73" t="n">
        <v>242061.31</v>
      </c>
      <c r="D9" s="145" t="n">
        <v>192189.52</v>
      </c>
      <c r="E9" s="145" t="n">
        <v>192189.52</v>
      </c>
      <c r="F9" s="163">
        <f>IFERROR((SUM(D9-C9)/C9),0)</f>
        <v/>
      </c>
      <c r="G9" s="155">
        <f>IFERROR((SUM(D9-B9)/B9),0)</f>
        <v/>
      </c>
      <c r="H9" s="150" t="n">
        <v>739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/>
      </c>
      <c r="M9" s="172">
        <f>IFERROR(L9/SUM(H9),0)</f>
        <v/>
      </c>
      <c r="N9" s="260" t="n">
        <v>20209.87</v>
      </c>
      <c r="O9" s="89">
        <f>SUM(N9/D9)</f>
        <v/>
      </c>
      <c r="P9" s="260" t="n">
        <v>9226.35</v>
      </c>
      <c r="Q9" s="89">
        <f>SUM(P9/D9)</f>
        <v/>
      </c>
      <c r="R9" s="130" t="n">
        <v>10235.5</v>
      </c>
      <c r="S9" s="26" t="n"/>
    </row>
    <row r="10" ht="15.6" customHeight="1">
      <c r="A10" s="411" t="inlineStr">
        <is>
          <t xml:space="preserve">Waterkloof </t>
        </is>
      </c>
      <c r="B10" s="200">
        <f>'22 - 28 Feb 2021'!D10</f>
        <v/>
      </c>
      <c r="C10" s="73" t="n">
        <v>159016.18</v>
      </c>
      <c r="D10" s="145" t="n">
        <v>125510.9</v>
      </c>
      <c r="E10" s="145" t="n">
        <v>125510.9</v>
      </c>
      <c r="F10" s="163">
        <f>IFERROR((SUM(D10-C10)/C10),0)</f>
        <v/>
      </c>
      <c r="G10" s="155">
        <f>IFERROR((SUM(D10-B10)/B10),0)</f>
        <v/>
      </c>
      <c r="H10" s="150" t="n">
        <v>445</v>
      </c>
      <c r="I10" s="63">
        <f>IFERROR(D10/H10,0)</f>
        <v/>
      </c>
      <c r="J10" s="61" t="n">
        <v>57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/>
      </c>
      <c r="M10" s="172">
        <f>IFERROR(L10/SUM(H10),0)</f>
        <v/>
      </c>
      <c r="N10" s="260" t="n">
        <v>21792.6</v>
      </c>
      <c r="O10" s="89">
        <f>SUM(N10/D10)</f>
        <v/>
      </c>
      <c r="P10" s="260" t="n">
        <v>15520.32</v>
      </c>
      <c r="Q10" s="89">
        <f>SUM(P10/D10)</f>
        <v/>
      </c>
      <c r="R10" s="130" t="n">
        <v>5268.8</v>
      </c>
      <c r="S10" s="26" t="n"/>
    </row>
    <row r="11" ht="15.6" customHeight="1">
      <c r="A11" s="409" t="inlineStr">
        <is>
          <t>Eagles Landing</t>
        </is>
      </c>
      <c r="B11" s="200">
        <f>'22 - 28 Feb 2021'!D11</f>
        <v/>
      </c>
      <c r="C11" s="73" t="n">
        <v>270331.87</v>
      </c>
      <c r="D11" s="145" t="n">
        <v>236841.47</v>
      </c>
      <c r="E11" s="145" t="n">
        <v>236841.47</v>
      </c>
      <c r="F11" s="163">
        <f>IFERROR((SUM(D11-C11)/C11),0)</f>
        <v/>
      </c>
      <c r="G11" s="155">
        <f>IFERROR((SUM(D11-B11)/B11),0)</f>
        <v/>
      </c>
      <c r="H11" s="150" t="n">
        <v>871</v>
      </c>
      <c r="I11" s="63">
        <f>IFERROR(D11/H11,0)</f>
        <v/>
      </c>
      <c r="J11" s="61" t="n">
        <v>73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/>
      </c>
      <c r="M11" s="172">
        <f>IFERROR(L11/SUM(H11),0)</f>
        <v/>
      </c>
      <c r="N11" s="260" t="n">
        <v>33579.45</v>
      </c>
      <c r="O11" s="89">
        <f>SUM(N11/D11)</f>
        <v/>
      </c>
      <c r="P11" s="260" t="n">
        <v>17871.3</v>
      </c>
      <c r="Q11" s="89">
        <f>SUM(P11/D11)</f>
        <v/>
      </c>
      <c r="R11" s="130" t="n">
        <v>12175.8</v>
      </c>
      <c r="S11" s="26" t="n"/>
    </row>
    <row r="12" ht="15.6" customHeight="1">
      <c r="A12" s="198" t="inlineStr">
        <is>
          <t>Stellenbosch</t>
        </is>
      </c>
      <c r="B12" s="200">
        <f>'22 - 28 Feb 2021'!D12</f>
        <v/>
      </c>
      <c r="C12" s="73" t="n">
        <v>157839.24</v>
      </c>
      <c r="D12" s="145" t="n">
        <v>121011.83</v>
      </c>
      <c r="E12" s="145" t="n">
        <v>121011.83</v>
      </c>
      <c r="F12" s="163">
        <f>IFERROR((SUM(D12-C12)/C12),0)</f>
        <v/>
      </c>
      <c r="G12" s="155">
        <f>IFERROR((SUM(D12-B12)/B12),0)</f>
        <v/>
      </c>
      <c r="H12" s="150" t="n">
        <v>446</v>
      </c>
      <c r="I12" s="63">
        <f>IFERROR(D12/H12,0)</f>
        <v/>
      </c>
      <c r="J12" s="61" t="n">
        <v>32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/>
      </c>
      <c r="M12" s="172">
        <f>IFERROR(L12/SUM(H12),0)</f>
        <v/>
      </c>
      <c r="N12" s="260" t="n">
        <v>16874.17</v>
      </c>
      <c r="O12" s="89">
        <f>SUM(N12/D12)</f>
        <v/>
      </c>
      <c r="P12" s="260" t="n">
        <v>7288.73</v>
      </c>
      <c r="Q12" s="89">
        <f>SUM(P12/D12)</f>
        <v/>
      </c>
      <c r="R12" s="130" t="n">
        <v>7364.5</v>
      </c>
      <c r="S12" s="26" t="n"/>
    </row>
    <row r="13" ht="15.6" customHeight="1">
      <c r="A13" s="198" t="inlineStr">
        <is>
          <t>Lynnwood</t>
        </is>
      </c>
      <c r="B13" s="200">
        <f>'22 - 28 Feb 2021'!D13</f>
        <v/>
      </c>
      <c r="C13" s="73" t="n">
        <v>217934.76</v>
      </c>
      <c r="D13" s="145" t="n">
        <v>199536.55</v>
      </c>
      <c r="E13" s="145" t="n">
        <v>199536.55</v>
      </c>
      <c r="F13" s="163">
        <f>IFERROR((SUM(D13-C13)/C13),0)</f>
        <v/>
      </c>
      <c r="G13" s="155">
        <f>IFERROR((SUM(D13-B13)/B13),0)</f>
        <v/>
      </c>
      <c r="H13" s="150" t="n">
        <v>751</v>
      </c>
      <c r="I13" s="63">
        <f>IFERROR(D13/H13,0)</f>
        <v/>
      </c>
      <c r="J13" s="61" t="n">
        <v>73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/>
      </c>
      <c r="M13" s="172">
        <f>IFERROR(L13/SUM(H13),0)</f>
        <v/>
      </c>
      <c r="N13" s="260" t="n">
        <v>30592.3</v>
      </c>
      <c r="O13" s="89">
        <f>SUM(N13/D13)</f>
        <v/>
      </c>
      <c r="P13" s="260" t="n">
        <v>26558.43</v>
      </c>
      <c r="Q13" s="89">
        <f>SUM(P13/D13)</f>
        <v/>
      </c>
      <c r="R13" s="130" t="n">
        <v>4171.3</v>
      </c>
      <c r="S13" s="26" t="n"/>
    </row>
    <row r="14" hidden="1" ht="15.6" customHeight="1">
      <c r="A14" s="198" t="inlineStr">
        <is>
          <t>Wellington</t>
        </is>
      </c>
      <c r="B14" s="200">
        <f>'22 - 28 Feb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Feb 2021'!D15</f>
        <v/>
      </c>
      <c r="C15" s="73" t="n">
        <v>183776.76</v>
      </c>
      <c r="D15" s="145" t="n">
        <v>174523.57</v>
      </c>
      <c r="E15" s="145" t="n">
        <v>174523.57</v>
      </c>
      <c r="F15" s="163">
        <f>IFERROR((SUM(D15-C15)/C15),0)</f>
        <v/>
      </c>
      <c r="G15" s="155">
        <f>IFERROR((SUM(D15-B15)/B15),0)</f>
        <v/>
      </c>
      <c r="H15" s="150" t="n">
        <v>612</v>
      </c>
      <c r="I15" s="63">
        <f>IFERROR(D15/H15,0)</f>
        <v/>
      </c>
      <c r="J15" s="61" t="n">
        <v>36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13912.61</v>
      </c>
      <c r="Q15" s="89">
        <f>SUM(P15/D15)</f>
        <v/>
      </c>
      <c r="R15" s="130" t="n">
        <v>4854.6</v>
      </c>
      <c r="S15" s="9" t="n"/>
    </row>
    <row r="16" ht="15.6" customHeight="1">
      <c r="A16" s="198" t="inlineStr">
        <is>
          <t>Kyalami Corner</t>
        </is>
      </c>
      <c r="B16" s="200">
        <f>'22 - 28 Feb 2021'!D16</f>
        <v/>
      </c>
      <c r="C16" s="73" t="n">
        <v>127255.26</v>
      </c>
      <c r="D16" s="145" t="n">
        <v>117847.8</v>
      </c>
      <c r="E16" s="145" t="n">
        <v>117847.8</v>
      </c>
      <c r="F16" s="163">
        <f>IFERROR((SUM(D16-C16)/C16),0)</f>
        <v/>
      </c>
      <c r="G16" s="155">
        <f>IFERROR((SUM(D16-B16)/B16),0)</f>
        <v/>
      </c>
      <c r="H16" s="150" t="n">
        <v>440</v>
      </c>
      <c r="I16" s="63">
        <f>IFERROR(D16/H16,0)</f>
        <v/>
      </c>
      <c r="J16" s="61" t="n">
        <v>49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/>
      </c>
      <c r="M16" s="172">
        <f>IFERROR(L16/SUM(H16),0)</f>
        <v/>
      </c>
      <c r="N16" s="260" t="n">
        <v>21588.13</v>
      </c>
      <c r="O16" s="89">
        <f>SUM(N16/D16)</f>
        <v/>
      </c>
      <c r="P16" s="260" t="n">
        <v>15852.26</v>
      </c>
      <c r="Q16" s="89">
        <f>SUM(P16/D16)</f>
        <v/>
      </c>
      <c r="R16" s="130" t="n">
        <v>5861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Feb 2021'!D17</f>
        <v/>
      </c>
      <c r="C17" s="73" t="n">
        <v>208721.29</v>
      </c>
      <c r="D17" s="145" t="n">
        <v>164974.12</v>
      </c>
      <c r="E17" s="145" t="n">
        <v>164974.12</v>
      </c>
      <c r="F17" s="163">
        <f>IFERROR((SUM(D17-C17)/C17),0)</f>
        <v/>
      </c>
      <c r="G17" s="155">
        <f>IFERROR((SUM(D17-B17)/B17),0)</f>
        <v/>
      </c>
      <c r="H17" s="150" t="n">
        <v>637</v>
      </c>
      <c r="I17" s="63">
        <f>IFERROR(D17/H17,0)</f>
        <v/>
      </c>
      <c r="J17" s="61" t="n">
        <v>51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/>
      </c>
      <c r="M17" s="172">
        <f>IFERROR(L17/SUM(H17),0)</f>
        <v/>
      </c>
      <c r="N17" s="260" t="n">
        <v>23602.35</v>
      </c>
      <c r="O17" s="89">
        <f>SUM(N17/D17)</f>
        <v/>
      </c>
      <c r="P17" s="260" t="n">
        <v>18163.36</v>
      </c>
      <c r="Q17" s="89">
        <f>SUM(P17/D17)</f>
        <v/>
      </c>
      <c r="R17" s="130" t="n">
        <v>4286.5</v>
      </c>
      <c r="S17" s="9" t="n"/>
    </row>
    <row r="18" ht="15.6" customHeight="1">
      <c r="A18" s="198" t="inlineStr">
        <is>
          <t>Queenswood</t>
        </is>
      </c>
      <c r="B18" s="200">
        <f>'22 - 28 Feb 2021'!D18</f>
        <v/>
      </c>
      <c r="C18" s="73" t="n">
        <v>169228.51</v>
      </c>
      <c r="D18" s="145" t="n">
        <v>136777.83</v>
      </c>
      <c r="E18" s="145" t="n">
        <v>136777.83</v>
      </c>
      <c r="F18" s="163">
        <f>IFERROR((SUM(D18-C18)/C18),0)</f>
        <v/>
      </c>
      <c r="G18" s="155">
        <f>IFERROR((SUM(D18-B18)/B18),0)</f>
        <v/>
      </c>
      <c r="H18" s="150" t="n">
        <v>575</v>
      </c>
      <c r="I18" s="258">
        <f>IFERROR(D18/H18,0)</f>
        <v/>
      </c>
      <c r="J18" s="61" t="n">
        <v>57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/>
      </c>
      <c r="M18" s="172">
        <f>IFERROR(L18/SUM(H18),0)</f>
        <v/>
      </c>
      <c r="N18" s="260" t="n">
        <v>18229.51</v>
      </c>
      <c r="O18" s="89">
        <f>SUM(N18/D18)</f>
        <v/>
      </c>
      <c r="P18" s="260" t="n">
        <v>10443.3</v>
      </c>
      <c r="Q18" s="89">
        <f>SUM(P18/D18)</f>
        <v/>
      </c>
      <c r="R18" s="130" t="n">
        <v>5243.5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'1 - 7 March 2021'!D6</f>
        <v/>
      </c>
      <c r="C6" s="255" t="n">
        <v>228544.88</v>
      </c>
      <c r="D6" s="197" t="n">
        <v>198648.1</v>
      </c>
      <c r="E6" s="129" t="n">
        <v>382343.47</v>
      </c>
      <c r="F6" s="162">
        <f>IFERROR((SUM(D6-C6)/C6),0)</f>
        <v/>
      </c>
      <c r="G6" s="154">
        <f>IFERROR((SUM(D6-B6)/B6),0)</f>
        <v/>
      </c>
      <c r="H6" s="149" t="n">
        <v>720</v>
      </c>
      <c r="I6" s="256">
        <f>IFERROR(D6/H6,0)</f>
        <v/>
      </c>
      <c r="J6" s="125" t="n">
        <v>87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/>
      </c>
      <c r="M6" s="171">
        <f>IFERROR(L6/SUM(H6),0)</f>
        <v/>
      </c>
      <c r="N6" s="259" t="n">
        <v>50691.13</v>
      </c>
      <c r="O6" s="128">
        <f>SUM(N6/D6)</f>
        <v/>
      </c>
      <c r="P6" s="260" t="n">
        <v>8867.219999999999</v>
      </c>
      <c r="Q6" s="128">
        <f>SUM(P6/D6)</f>
        <v/>
      </c>
      <c r="R6" s="129" t="n">
        <v>16951</v>
      </c>
      <c r="S6" s="26" t="n"/>
    </row>
    <row r="7" ht="15.6" customHeight="1">
      <c r="A7" s="409" t="inlineStr">
        <is>
          <t>Melrose Arch</t>
        </is>
      </c>
      <c r="B7" s="200">
        <f>'1 - 7 March 2021'!D7</f>
        <v/>
      </c>
      <c r="C7" s="73" t="n">
        <v>173162.7</v>
      </c>
      <c r="D7" s="145" t="n">
        <v>173140.42</v>
      </c>
      <c r="E7" s="145" t="n">
        <v>347526.71</v>
      </c>
      <c r="F7" s="163">
        <f>IFERROR((SUM(D7-C7)/C7),0)</f>
        <v/>
      </c>
      <c r="G7" s="155">
        <f>IFERROR((SUM(D7-B7)/B7),0)</f>
        <v/>
      </c>
      <c r="H7" s="150" t="n">
        <v>614</v>
      </c>
      <c r="I7" s="63">
        <f>IFERROR(D7/H7,0)</f>
        <v/>
      </c>
      <c r="J7" s="61" t="n">
        <v>47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/>
      </c>
      <c r="M7" s="172">
        <f>IFERROR(L7/SUM(H7),0)</f>
        <v/>
      </c>
      <c r="N7" s="260" t="n">
        <v>21707.3</v>
      </c>
      <c r="O7" s="89">
        <f>SUM(N7/D7)</f>
        <v/>
      </c>
      <c r="P7" s="260" t="n">
        <v>11756.52</v>
      </c>
      <c r="Q7" s="89">
        <f>SUM(P7/D7)</f>
        <v/>
      </c>
      <c r="R7" s="130" t="n">
        <v>8282.01</v>
      </c>
      <c r="S7" s="26" t="n"/>
    </row>
    <row r="8" ht="15.6" customHeight="1">
      <c r="A8" s="409" t="inlineStr">
        <is>
          <t>Melville</t>
        </is>
      </c>
      <c r="B8" s="200">
        <f>'1 - 7 March 2021'!D8</f>
        <v/>
      </c>
      <c r="C8" s="73" t="n">
        <v>111287.99</v>
      </c>
      <c r="D8" s="145" t="n">
        <v>99515.73</v>
      </c>
      <c r="E8" s="145" t="n">
        <v>214515.74</v>
      </c>
      <c r="F8" s="163">
        <f>IFERROR((SUM(D8-C8)/C8),0)</f>
        <v/>
      </c>
      <c r="G8" s="155">
        <f>IFERROR((SUM(D8-B8)/B8),0)</f>
        <v/>
      </c>
      <c r="H8" s="150" t="n">
        <v>414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/>
      </c>
      <c r="M8" s="172">
        <f>IFERROR(L8/SUM(H8),0)</f>
        <v/>
      </c>
      <c r="N8" s="260" t="n">
        <v>30457.78</v>
      </c>
      <c r="O8" s="89">
        <f>SUM(N8/D8)</f>
        <v/>
      </c>
      <c r="P8" s="260" t="n">
        <v>10944.43</v>
      </c>
      <c r="Q8" s="89">
        <f>SUM(P8/D8)</f>
        <v/>
      </c>
      <c r="R8" s="130" t="n">
        <v>2802</v>
      </c>
      <c r="S8" s="26" t="n"/>
    </row>
    <row r="9" ht="15.6" customHeight="1">
      <c r="A9" s="409" t="inlineStr">
        <is>
          <t>Rosebank</t>
        </is>
      </c>
      <c r="B9" s="200">
        <f>'1 - 7 March 2021'!D9</f>
        <v/>
      </c>
      <c r="C9" s="73" t="n">
        <v>273777</v>
      </c>
      <c r="D9" s="145" t="n">
        <v>172867.87</v>
      </c>
      <c r="E9" s="145" t="n">
        <v>365057.39</v>
      </c>
      <c r="F9" s="163">
        <f>IFERROR((SUM(D9-C9)/C9),0)</f>
        <v/>
      </c>
      <c r="G9" s="155">
        <f>IFERROR((SUM(D9-B9)/B9),0)</f>
        <v/>
      </c>
      <c r="H9" s="150" t="n">
        <v>682</v>
      </c>
      <c r="I9" s="63">
        <f>IFERROR(D9/H9,0)</f>
        <v/>
      </c>
      <c r="J9" s="61" t="n">
        <v>58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/>
      </c>
      <c r="M9" s="172">
        <f>IFERROR(L9/SUM(H9),0)</f>
        <v/>
      </c>
      <c r="N9" s="260" t="n">
        <v>13473.39</v>
      </c>
      <c r="O9" s="89">
        <f>SUM(N9/D9)</f>
        <v/>
      </c>
      <c r="P9" s="260" t="n">
        <v>13311.97</v>
      </c>
      <c r="Q9" s="89">
        <f>SUM(P9/D9)</f>
        <v/>
      </c>
      <c r="R9" s="130" t="n">
        <v>9442.5</v>
      </c>
      <c r="S9" s="26" t="n"/>
    </row>
    <row r="10" ht="15.6" customHeight="1">
      <c r="A10" s="411" t="inlineStr">
        <is>
          <t xml:space="preserve">Waterkloof </t>
        </is>
      </c>
      <c r="B10" s="200">
        <f>'1 - 7 March 2021'!D10</f>
        <v/>
      </c>
      <c r="C10" s="73" t="n">
        <v>157896.94</v>
      </c>
      <c r="D10" s="145" t="n">
        <v>127052.23</v>
      </c>
      <c r="E10" s="145" t="n">
        <v>252563.13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/>
      </c>
      <c r="M10" s="172">
        <f>IFERROR(L10/SUM(H10),0)</f>
        <v/>
      </c>
      <c r="N10" s="260" t="n">
        <v>29149.61</v>
      </c>
      <c r="O10" s="89">
        <f>SUM(N10/D10)</f>
        <v/>
      </c>
      <c r="P10" s="260" t="n">
        <v>24074.48</v>
      </c>
      <c r="Q10" s="89">
        <f>SUM(P10/D10)</f>
        <v/>
      </c>
      <c r="R10" s="130" t="n">
        <v>7464.5</v>
      </c>
      <c r="S10" s="26" t="n"/>
    </row>
    <row r="11" ht="15.6" customHeight="1">
      <c r="A11" s="409" t="inlineStr">
        <is>
          <t>Eagles Landing</t>
        </is>
      </c>
      <c r="B11" s="200">
        <f>'1 - 7 March 2021'!D11</f>
        <v/>
      </c>
      <c r="C11" s="73" t="n">
        <v>316971.75</v>
      </c>
      <c r="D11" s="145" t="n">
        <v>241525.48</v>
      </c>
      <c r="E11" s="145" t="n">
        <v>478366.95</v>
      </c>
      <c r="F11" s="163">
        <f>IFERROR((SUM(D11-C11)/C11),0)</f>
        <v/>
      </c>
      <c r="G11" s="155">
        <f>IFERROR((SUM(D11-B11)/B11),0)</f>
        <v/>
      </c>
      <c r="H11" s="150" t="n">
        <v>915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/>
      </c>
      <c r="M11" s="172">
        <f>IFERROR(L11/SUM(H11),0)</f>
        <v/>
      </c>
      <c r="N11" s="260" t="n">
        <v>33682.66</v>
      </c>
      <c r="O11" s="89">
        <f>SUM(N11/D11)</f>
        <v/>
      </c>
      <c r="P11" s="260" t="n">
        <v>21516.17</v>
      </c>
      <c r="Q11" s="89">
        <f>SUM(P11/D11)</f>
        <v/>
      </c>
      <c r="R11" s="130" t="n">
        <v>12254.9</v>
      </c>
      <c r="S11" s="26" t="n"/>
    </row>
    <row r="12" ht="15.6" customHeight="1">
      <c r="A12" s="198" t="inlineStr">
        <is>
          <t>Stellenbosch</t>
        </is>
      </c>
      <c r="B12" s="200">
        <f>'1 - 7 March 2021'!D12</f>
        <v/>
      </c>
      <c r="C12" s="73" t="n">
        <v>142886.7</v>
      </c>
      <c r="D12" s="145" t="n">
        <v>125360.51</v>
      </c>
      <c r="E12" s="145" t="n">
        <v>246372.34</v>
      </c>
      <c r="F12" s="163">
        <f>IFERROR((SUM(D12-C12)/C12),0)</f>
        <v/>
      </c>
      <c r="G12" s="155">
        <f>IFERROR((SUM(D12-B12)/B12),0)</f>
        <v/>
      </c>
      <c r="H12" s="150" t="n">
        <v>484</v>
      </c>
      <c r="I12" s="63">
        <f>IFERROR(D12/H12,0)</f>
        <v/>
      </c>
      <c r="J12" s="61" t="n">
        <v>52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/>
      </c>
      <c r="M12" s="172">
        <f>IFERROR(L12/SUM(H12),0)</f>
        <v/>
      </c>
      <c r="N12" s="260" t="n">
        <v>20100.17</v>
      </c>
      <c r="O12" s="89">
        <f>SUM(N12/D12)</f>
        <v/>
      </c>
      <c r="P12" s="260" t="n">
        <v>10234.83</v>
      </c>
      <c r="Q12" s="89">
        <f>SUM(P12/D12)</f>
        <v/>
      </c>
      <c r="R12" s="130" t="n">
        <v>8879.5</v>
      </c>
      <c r="S12" s="26" t="n"/>
    </row>
    <row r="13" ht="15.6" customHeight="1">
      <c r="A13" s="198" t="inlineStr">
        <is>
          <t>Lynnwood</t>
        </is>
      </c>
      <c r="B13" s="200">
        <f>'1 - 7 March 2021'!D13</f>
        <v/>
      </c>
      <c r="C13" s="73" t="n">
        <v>227804.08</v>
      </c>
      <c r="D13" s="145" t="n">
        <v>194657.22</v>
      </c>
      <c r="E13" s="145" t="n">
        <v>374193.77</v>
      </c>
      <c r="F13" s="163">
        <f>IFERROR((SUM(D13-C13)/C13),0)</f>
        <v/>
      </c>
      <c r="G13" s="155">
        <f>IFERROR((SUM(D13-B13)/B13),0)</f>
        <v/>
      </c>
      <c r="H13" s="150" t="n">
        <v>730</v>
      </c>
      <c r="I13" s="63">
        <f>IFERROR(D13/H13,0)</f>
        <v/>
      </c>
      <c r="J13" s="61" t="n">
        <v>40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/>
      </c>
      <c r="M13" s="172">
        <f>IFERROR(L13/SUM(H13),0)</f>
        <v/>
      </c>
      <c r="N13" s="260" t="n">
        <v>27972.3</v>
      </c>
      <c r="O13" s="89">
        <f>SUM(N13/D13)</f>
        <v/>
      </c>
      <c r="P13" s="260" t="n">
        <v>23418.65</v>
      </c>
      <c r="Q13" s="89">
        <f>SUM(P13/D13)</f>
        <v/>
      </c>
      <c r="R13" s="130" t="n">
        <v>2539.5</v>
      </c>
      <c r="S13" s="26" t="n"/>
    </row>
    <row r="14" hidden="1" ht="15.6" customHeight="1">
      <c r="A14" s="198" t="inlineStr">
        <is>
          <t>Wellington</t>
        </is>
      </c>
      <c r="B14" s="200">
        <f>'1 - 7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'1 - 7 March 2021'!D15</f>
        <v/>
      </c>
      <c r="C15" s="73" t="n">
        <v>199136.28</v>
      </c>
      <c r="D15" s="145" t="n">
        <v>172209.53</v>
      </c>
      <c r="E15" s="145" t="n">
        <v>346733.1</v>
      </c>
      <c r="F15" s="163">
        <f>IFERROR((SUM(D15-C15)/C15),0)</f>
        <v/>
      </c>
      <c r="G15" s="155">
        <f>IFERROR((SUM(D15-B15)/B15),0)</f>
        <v/>
      </c>
      <c r="H15" s="150" t="n">
        <v>629</v>
      </c>
      <c r="I15" s="63">
        <f>IFERROR(D15/H15,0)</f>
        <v/>
      </c>
      <c r="J15" s="61" t="n">
        <v>32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19886.96</v>
      </c>
      <c r="Q15" s="89">
        <f>SUM(P15/D15)</f>
        <v/>
      </c>
      <c r="R15" s="130" t="n">
        <v>4605.15</v>
      </c>
      <c r="S15" s="9" t="n"/>
    </row>
    <row r="16" ht="15.6" customHeight="1">
      <c r="A16" s="198" t="inlineStr">
        <is>
          <t>Kyalami Corner</t>
        </is>
      </c>
      <c r="B16" s="200">
        <f>'1 - 7 March 2021'!D16</f>
        <v/>
      </c>
      <c r="C16" s="73" t="n">
        <v>138626.42</v>
      </c>
      <c r="D16" s="145" t="n">
        <v>128763</v>
      </c>
      <c r="E16" s="145" t="n">
        <v>246610.8</v>
      </c>
      <c r="F16" s="163">
        <f>IFERROR((SUM(D16-C16)/C16),0)</f>
        <v/>
      </c>
      <c r="G16" s="155">
        <f>IFERROR((SUM(D16-B16)/B16),0)</f>
        <v/>
      </c>
      <c r="H16" s="150" t="n">
        <v>480</v>
      </c>
      <c r="I16" s="63">
        <f>IFERROR(D16/H16,0)</f>
        <v/>
      </c>
      <c r="J16" s="61" t="n">
        <v>52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/>
      </c>
      <c r="M16" s="172">
        <f>IFERROR(L16/SUM(H16),0)</f>
        <v/>
      </c>
      <c r="N16" s="260" t="n">
        <v>22133.48</v>
      </c>
      <c r="O16" s="89">
        <f>SUM(N16/D16)</f>
        <v/>
      </c>
      <c r="P16" s="260" t="n">
        <v>15225.78</v>
      </c>
      <c r="Q16" s="89">
        <f>SUM(P16/D16)</f>
        <v/>
      </c>
      <c r="R16" s="130" t="n">
        <v>6371.5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'1 - 7 March 2021'!D17</f>
        <v/>
      </c>
      <c r="C17" s="73" t="n">
        <v>218588.98</v>
      </c>
      <c r="D17" s="145" t="n">
        <v>163994.21</v>
      </c>
      <c r="E17" s="145" t="n">
        <v>328968.33</v>
      </c>
      <c r="F17" s="163">
        <f>IFERROR((SUM(D17-C17)/C17),0)</f>
        <v/>
      </c>
      <c r="G17" s="155">
        <f>IFERROR((SUM(D17-B17)/B17),0)</f>
        <v/>
      </c>
      <c r="H17" s="150" t="n">
        <v>663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/>
      </c>
      <c r="M17" s="172">
        <f>IFERROR(L17/SUM(H17),0)</f>
        <v/>
      </c>
      <c r="N17" s="260" t="n">
        <v>30824.61</v>
      </c>
      <c r="O17" s="89">
        <f>SUM(N17/D17)</f>
        <v/>
      </c>
      <c r="P17" s="260" t="n">
        <v>20383.39</v>
      </c>
      <c r="Q17" s="89">
        <f>SUM(P17/D17)</f>
        <v/>
      </c>
      <c r="R17" s="130" t="n">
        <v>4617.64</v>
      </c>
      <c r="S17" s="9" t="n"/>
    </row>
    <row r="18" ht="15.6" customHeight="1">
      <c r="A18" s="198" t="inlineStr">
        <is>
          <t>Queenswood</t>
        </is>
      </c>
      <c r="B18" s="200">
        <f>'1 - 7 March 2021'!D18</f>
        <v/>
      </c>
      <c r="C18" s="73" t="n">
        <v>185708.58</v>
      </c>
      <c r="D18" s="145" t="n">
        <v>136531.2</v>
      </c>
      <c r="E18" s="145" t="n">
        <v>273309.03</v>
      </c>
      <c r="F18" s="163">
        <f>IFERROR((SUM(D18-C18)/C18),0)</f>
        <v/>
      </c>
      <c r="G18" s="155">
        <f>IFERROR((SUM(D18-B18)/B18),0)</f>
        <v/>
      </c>
      <c r="H18" s="150" t="n">
        <v>547</v>
      </c>
      <c r="I18" s="258">
        <f>IFERROR(D18/H18,0)</f>
        <v/>
      </c>
      <c r="J18" s="61" t="n">
        <v>41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/>
      </c>
      <c r="M18" s="172">
        <f>IFERROR(L18/SUM(H18),0)</f>
        <v/>
      </c>
      <c r="N18" s="260" t="n">
        <v>15949.87</v>
      </c>
      <c r="O18" s="89">
        <f>SUM(N18/D18)</f>
        <v/>
      </c>
      <c r="P18" s="260" t="n">
        <v>12471.26</v>
      </c>
      <c r="Q18" s="89">
        <f>SUM(P18/D18)</f>
        <v/>
      </c>
      <c r="R18" s="130" t="n">
        <v>4621.5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'8 - 14 March 2021'!D6</f>
        <v/>
      </c>
      <c r="C6" s="255" t="n">
        <v>111844.41</v>
      </c>
      <c r="D6" s="197" t="n">
        <v>206498.35</v>
      </c>
      <c r="E6" s="129" t="n">
        <v>588841.8199999999</v>
      </c>
      <c r="F6" s="162">
        <f>IFERROR((SUM(D6-C6)/C6),0)</f>
        <v/>
      </c>
      <c r="G6" s="154">
        <f>IFERROR((SUM(D6-B6)/B6),0)</f>
        <v/>
      </c>
      <c r="H6" s="149" t="n">
        <v>702</v>
      </c>
      <c r="I6" s="256">
        <f>IFERROR(D6/H6,0)</f>
        <v/>
      </c>
      <c r="J6" s="125" t="n">
        <v>73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/>
      </c>
      <c r="M6" s="171">
        <f>IFERROR(L6/SUM(H6),0)</f>
        <v/>
      </c>
      <c r="N6" s="259" t="n">
        <v>60358.78</v>
      </c>
      <c r="O6" s="128">
        <f>SUM(N6/D6)</f>
        <v/>
      </c>
      <c r="P6" s="260" t="n">
        <v>1531.13</v>
      </c>
      <c r="Q6" s="128">
        <f>SUM(P6/D6)</f>
        <v/>
      </c>
      <c r="R6" s="129" t="n">
        <v>6651</v>
      </c>
      <c r="S6" s="26" t="n"/>
    </row>
    <row r="7" ht="15.6" customHeight="1">
      <c r="A7" s="409" t="inlineStr">
        <is>
          <t>Melrose Arch</t>
        </is>
      </c>
      <c r="B7" s="200">
        <f>'8 - 14 March 2021'!D7</f>
        <v/>
      </c>
      <c r="C7" s="73" t="n">
        <v>25855.03</v>
      </c>
      <c r="D7" s="145" t="n">
        <v>147714.4</v>
      </c>
      <c r="E7" s="145" t="n">
        <v>495241.11</v>
      </c>
      <c r="F7" s="163">
        <f>IFERROR((SUM(D7-C7)/C7),0)</f>
        <v/>
      </c>
      <c r="G7" s="155">
        <f>IFERROR((SUM(D7-B7)/B7),0)</f>
        <v/>
      </c>
      <c r="H7" s="150" t="n">
        <v>577</v>
      </c>
      <c r="I7" s="63">
        <f>IFERROR(D7/H7,0)</f>
        <v/>
      </c>
      <c r="J7" s="61" t="n">
        <v>36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/>
      </c>
      <c r="M7" s="172">
        <f>IFERROR(L7/SUM(H7),0)</f>
        <v/>
      </c>
      <c r="N7" s="260" t="n">
        <v>26236.7</v>
      </c>
      <c r="O7" s="89">
        <f>SUM(N7/D7)</f>
        <v/>
      </c>
      <c r="P7" s="260" t="n">
        <v>11107.74</v>
      </c>
      <c r="Q7" s="89">
        <f>SUM(P7/D7)</f>
        <v/>
      </c>
      <c r="R7" s="130" t="n">
        <v>6633.4</v>
      </c>
      <c r="S7" s="26" t="n"/>
    </row>
    <row r="8" ht="15.6" customHeight="1">
      <c r="A8" s="409" t="inlineStr">
        <is>
          <t>Melville</t>
        </is>
      </c>
      <c r="B8" s="200">
        <f>'8 - 14 March 2021'!D8</f>
        <v/>
      </c>
      <c r="C8" s="73" t="n">
        <v>63419.32</v>
      </c>
      <c r="D8" s="145" t="n">
        <v>108914.78</v>
      </c>
      <c r="E8" s="145" t="n">
        <v>323430.52</v>
      </c>
      <c r="F8" s="163">
        <f>IFERROR((SUM(D8-C8)/C8),0)</f>
        <v/>
      </c>
      <c r="G8" s="155">
        <f>IFERROR((SUM(D8-B8)/B8),0)</f>
        <v/>
      </c>
      <c r="H8" s="150" t="n">
        <v>423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/>
      </c>
      <c r="M8" s="172">
        <f>IFERROR(L8/SUM(H8),0)</f>
        <v/>
      </c>
      <c r="N8" s="260" t="n">
        <v>32594.78</v>
      </c>
      <c r="O8" s="89">
        <f>SUM(N8/D8)</f>
        <v/>
      </c>
      <c r="P8" s="260" t="n">
        <v>16701.61</v>
      </c>
      <c r="Q8" s="89">
        <f>SUM(P8/D8)</f>
        <v/>
      </c>
      <c r="R8" s="130" t="n">
        <v>2402</v>
      </c>
      <c r="S8" s="26" t="n"/>
    </row>
    <row r="9" ht="15.6" customHeight="1">
      <c r="A9" s="409" t="inlineStr">
        <is>
          <t>Rosebank</t>
        </is>
      </c>
      <c r="B9" s="200">
        <f>'8 - 14 March 2021'!D9</f>
        <v/>
      </c>
      <c r="C9" s="73" t="n">
        <v>100528.78</v>
      </c>
      <c r="D9" s="145" t="n">
        <v>155464.65</v>
      </c>
      <c r="E9" s="145" t="n">
        <v>520522.04</v>
      </c>
      <c r="F9" s="163">
        <f>IFERROR((SUM(D9-C9)/C9),0)</f>
        <v/>
      </c>
      <c r="G9" s="155">
        <f>IFERROR((SUM(D9-B9)/B9),0)</f>
        <v/>
      </c>
      <c r="H9" s="150" t="n">
        <v>649</v>
      </c>
      <c r="I9" s="63">
        <f>IFERROR(D9/H9,0)</f>
        <v/>
      </c>
      <c r="J9" s="61" t="n">
        <v>49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/>
      </c>
      <c r="M9" s="172">
        <f>IFERROR(L9/SUM(H9),0)</f>
        <v/>
      </c>
      <c r="N9" s="260" t="n">
        <v>14333.45</v>
      </c>
      <c r="O9" s="89">
        <f>SUM(N9/D9)</f>
        <v/>
      </c>
      <c r="P9" s="260" t="n">
        <v>11729.83</v>
      </c>
      <c r="Q9" s="89">
        <f>SUM(P9/D9)</f>
        <v/>
      </c>
      <c r="R9" s="130" t="n">
        <v>7653.1</v>
      </c>
      <c r="S9" s="26" t="n"/>
    </row>
    <row r="10" ht="15.6" customHeight="1">
      <c r="A10" s="411" t="inlineStr">
        <is>
          <t xml:space="preserve">Waterkloof </t>
        </is>
      </c>
      <c r="B10" s="200">
        <f>'8 - 14 March 2021'!D10</f>
        <v/>
      </c>
      <c r="C10" s="73" t="n">
        <v>92887.66</v>
      </c>
      <c r="D10" s="145" t="n">
        <v>133790.08</v>
      </c>
      <c r="E10" s="145" t="n">
        <v>386353.21</v>
      </c>
      <c r="F10" s="163">
        <f>IFERROR((SUM(D10-C10)/C10),0)</f>
        <v/>
      </c>
      <c r="G10" s="155">
        <f>IFERROR((SUM(D10-B10)/B10),0)</f>
        <v/>
      </c>
      <c r="H10" s="150" t="n">
        <v>516</v>
      </c>
      <c r="I10" s="63">
        <f>IFERROR(D10/H10,0)</f>
        <v/>
      </c>
      <c r="J10" s="61" t="n">
        <v>58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/>
      </c>
      <c r="M10" s="172">
        <f>IFERROR(L10/SUM(H10),0)</f>
        <v/>
      </c>
      <c r="N10" s="260" t="n">
        <v>26697.01</v>
      </c>
      <c r="O10" s="89">
        <f>SUM(N10/D10)</f>
        <v/>
      </c>
      <c r="P10" s="260" t="n">
        <v>16955.3</v>
      </c>
      <c r="Q10" s="89">
        <f>SUM(P10/D10)</f>
        <v/>
      </c>
      <c r="R10" s="130" t="n">
        <v>5587</v>
      </c>
      <c r="S10" s="26" t="n"/>
    </row>
    <row r="11" ht="15.6" customHeight="1">
      <c r="A11" s="409" t="inlineStr">
        <is>
          <t>Eagles Landing</t>
        </is>
      </c>
      <c r="B11" s="200">
        <f>'8 - 14 March 2021'!D11</f>
        <v/>
      </c>
      <c r="C11" s="73" t="n">
        <v>136221.63</v>
      </c>
      <c r="D11" s="145" t="n">
        <v>243817.58</v>
      </c>
      <c r="E11" s="145" t="n">
        <v>722184.53</v>
      </c>
      <c r="F11" s="163">
        <f>IFERROR((SUM(D11-C11)/C11),0)</f>
        <v/>
      </c>
      <c r="G11" s="155">
        <f>IFERROR((SUM(D11-B11)/B11),0)</f>
        <v/>
      </c>
      <c r="H11" s="150" t="n">
        <v>892</v>
      </c>
      <c r="I11" s="63">
        <f>IFERROR(D11/H11,0)</f>
        <v/>
      </c>
      <c r="J11" s="61" t="n">
        <v>56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/>
      </c>
      <c r="M11" s="172">
        <f>IFERROR(L11/SUM(H11),0)</f>
        <v/>
      </c>
      <c r="N11" s="260" t="n">
        <v>35416.39</v>
      </c>
      <c r="O11" s="89">
        <f>SUM(N11/D11)</f>
        <v/>
      </c>
      <c r="P11" s="260" t="n">
        <v>19306.35</v>
      </c>
      <c r="Q11" s="89">
        <f>SUM(P11/D11)</f>
        <v/>
      </c>
      <c r="R11" s="130" t="n">
        <v>12884.5</v>
      </c>
      <c r="S11" s="26" t="n"/>
    </row>
    <row r="12" ht="15.6" customHeight="1">
      <c r="A12" s="198" t="inlineStr">
        <is>
          <t>Stellenbosch</t>
        </is>
      </c>
      <c r="B12" s="200">
        <f>'8 - 14 March 2021'!D12</f>
        <v/>
      </c>
      <c r="C12" s="73" t="n">
        <v>70519.10000000001</v>
      </c>
      <c r="D12" s="145" t="n">
        <v>106568.05</v>
      </c>
      <c r="E12" s="145" t="n">
        <v>352940.39</v>
      </c>
      <c r="F12" s="163">
        <f>IFERROR((SUM(D12-C12)/C12),0)</f>
        <v/>
      </c>
      <c r="G12" s="155">
        <f>IFERROR((SUM(D12-B12)/B12),0)</f>
        <v/>
      </c>
      <c r="H12" s="150" t="n">
        <v>421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/>
      </c>
      <c r="M12" s="172">
        <f>IFERROR(L12/SUM(H12),0)</f>
        <v/>
      </c>
      <c r="N12" s="260" t="n">
        <v>13240.87</v>
      </c>
      <c r="O12" s="89">
        <f>SUM(N12/D12)</f>
        <v/>
      </c>
      <c r="P12" s="260" t="n">
        <v>9792.299999999999</v>
      </c>
      <c r="Q12" s="89">
        <f>SUM(P12/D12)</f>
        <v/>
      </c>
      <c r="R12" s="130" t="n">
        <v>7484</v>
      </c>
      <c r="S12" s="26" t="n"/>
    </row>
    <row r="13" ht="15.6" customHeight="1">
      <c r="A13" s="198" t="inlineStr">
        <is>
          <t>Lynnwood</t>
        </is>
      </c>
      <c r="B13" s="200">
        <f>'8 - 14 March 2021'!D13</f>
        <v/>
      </c>
      <c r="C13" s="73" t="n">
        <v>128530.38</v>
      </c>
      <c r="D13" s="145" t="n">
        <v>174962.19</v>
      </c>
      <c r="E13" s="145" t="n">
        <v>569155.96</v>
      </c>
      <c r="F13" s="163">
        <f>IFERROR((SUM(D13-C13)/C13),0)</f>
        <v/>
      </c>
      <c r="G13" s="155">
        <f>IFERROR((SUM(D13-B13)/B13),0)</f>
        <v/>
      </c>
      <c r="H13" s="150" t="n">
        <v>689</v>
      </c>
      <c r="I13" s="63">
        <f>IFERROR(D13/H13,0)</f>
        <v/>
      </c>
      <c r="J13" s="61" t="n">
        <v>48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/>
      </c>
      <c r="M13" s="172">
        <f>IFERROR(L13/SUM(H13),0)</f>
        <v/>
      </c>
      <c r="N13" s="260" t="n">
        <v>23983.57</v>
      </c>
      <c r="O13" s="89">
        <f>SUM(N13/D13)</f>
        <v/>
      </c>
      <c r="P13" s="260" t="n">
        <v>19098.04</v>
      </c>
      <c r="Q13" s="89">
        <f>SUM(P13/D13)</f>
        <v/>
      </c>
      <c r="R13" s="130" t="n">
        <v>3233.5</v>
      </c>
      <c r="S13" s="26" t="n"/>
    </row>
    <row r="14" hidden="1" ht="15.6" customHeight="1">
      <c r="A14" s="198" t="inlineStr">
        <is>
          <t>Wellington</t>
        </is>
      </c>
      <c r="B14" s="200">
        <f>'8 - 14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'8 - 14 March 2021'!D15</f>
        <v/>
      </c>
      <c r="C15" s="73" t="n">
        <v>137714.02</v>
      </c>
      <c r="D15" s="145" t="n">
        <v>196261.01</v>
      </c>
      <c r="E15" s="145" t="n">
        <v>542994.11</v>
      </c>
      <c r="F15" s="163">
        <f>IFERROR((SUM(D15-C15)/C15),0)</f>
        <v/>
      </c>
      <c r="G15" s="155">
        <f>IFERROR((SUM(D15-B15)/B15),0)</f>
        <v/>
      </c>
      <c r="H15" s="150" t="n">
        <v>658</v>
      </c>
      <c r="I15" s="63">
        <f>IFERROR(D15/H15,0)</f>
        <v/>
      </c>
      <c r="J15" s="61" t="n">
        <v>53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22455.3</v>
      </c>
      <c r="Q15" s="89">
        <f>SUM(P15/D15)</f>
        <v/>
      </c>
      <c r="R15" s="130" t="n">
        <v>5670.2</v>
      </c>
      <c r="S15" s="9" t="n"/>
    </row>
    <row r="16" ht="15.6" customHeight="1">
      <c r="A16" s="198" t="inlineStr">
        <is>
          <t>Kyalami Corner</t>
        </is>
      </c>
      <c r="B16" s="200">
        <f>'8 - 14 March 2021'!D16</f>
        <v/>
      </c>
      <c r="C16" s="73" t="n">
        <v>63130.56</v>
      </c>
      <c r="D16" s="145" t="n">
        <v>111117.76</v>
      </c>
      <c r="E16" s="145" t="n">
        <v>357728.56</v>
      </c>
      <c r="F16" s="163">
        <f>IFERROR((SUM(D16-C16)/C16),0)</f>
        <v/>
      </c>
      <c r="G16" s="155">
        <f>IFERROR((SUM(D16-B16)/B16),0)</f>
        <v/>
      </c>
      <c r="H16" s="150" t="n">
        <v>411</v>
      </c>
      <c r="I16" s="63">
        <f>IFERROR(D16/H16,0)</f>
        <v/>
      </c>
      <c r="J16" s="61" t="n">
        <v>33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/>
      </c>
      <c r="M16" s="172">
        <f>IFERROR(L16/SUM(H16),0)</f>
        <v/>
      </c>
      <c r="N16" s="260" t="n">
        <v>23475.96</v>
      </c>
      <c r="O16" s="89">
        <f>SUM(N16/D16)</f>
        <v/>
      </c>
      <c r="P16" s="260" t="n">
        <v>11609.83</v>
      </c>
      <c r="Q16" s="89">
        <f>SUM(P16/D16)</f>
        <v/>
      </c>
      <c r="R16" s="130" t="n">
        <v>6438.5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'8 - 14 March 2021'!D17</f>
        <v/>
      </c>
      <c r="C17" s="73" t="n">
        <v>99672.75</v>
      </c>
      <c r="D17" s="145" t="n">
        <v>154734.54</v>
      </c>
      <c r="E17" s="145" t="n">
        <v>483702.87</v>
      </c>
      <c r="F17" s="163">
        <f>IFERROR((SUM(D17-C17)/C17),0)</f>
        <v/>
      </c>
      <c r="G17" s="155">
        <f>IFERROR((SUM(D17-B17)/B17),0)</f>
        <v/>
      </c>
      <c r="H17" s="150" t="n">
        <v>632</v>
      </c>
      <c r="I17" s="63">
        <f>IFERROR(D17/H17,0)</f>
        <v/>
      </c>
      <c r="J17" s="61" t="n">
        <v>60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/>
      </c>
      <c r="M17" s="172">
        <f>IFERROR(L17/SUM(H17),0)</f>
        <v/>
      </c>
      <c r="N17" s="260" t="n">
        <v>27904.43</v>
      </c>
      <c r="O17" s="89">
        <f>SUM(N17/D17)</f>
        <v/>
      </c>
      <c r="P17" s="260" t="n">
        <v>8789.870000000001</v>
      </c>
      <c r="Q17" s="89">
        <f>SUM(P17/D17)</f>
        <v/>
      </c>
      <c r="R17" s="130" t="n">
        <v>4224.5</v>
      </c>
      <c r="S17" s="9" t="n"/>
    </row>
    <row r="18" ht="15.6" customHeight="1">
      <c r="A18" s="198" t="inlineStr">
        <is>
          <t>Queenswood</t>
        </is>
      </c>
      <c r="B18" s="200">
        <f>'8 - 14 March 2021'!D18</f>
        <v/>
      </c>
      <c r="C18" s="73" t="n">
        <v>112201.62</v>
      </c>
      <c r="D18" s="145" t="n">
        <v>139950.44</v>
      </c>
      <c r="E18" s="145" t="n">
        <v>413259.47</v>
      </c>
      <c r="F18" s="163">
        <f>IFERROR((SUM(D18-C18)/C18),0)</f>
        <v/>
      </c>
      <c r="G18" s="155">
        <f>IFERROR((SUM(D18-B18)/B18),0)</f>
        <v/>
      </c>
      <c r="H18" s="150" t="n">
        <v>535</v>
      </c>
      <c r="I18" s="258">
        <f>IFERROR(D18/H18,0)</f>
        <v/>
      </c>
      <c r="J18" s="61" t="n">
        <v>46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/>
      </c>
      <c r="M18" s="172">
        <f>IFERROR(L18/SUM(H18),0)</f>
        <v/>
      </c>
      <c r="N18" s="260" t="n">
        <v>19221.26</v>
      </c>
      <c r="O18" s="89">
        <f>SUM(N18/D18)</f>
        <v/>
      </c>
      <c r="P18" s="260" t="n">
        <v>12006.93</v>
      </c>
      <c r="Q18" s="89">
        <f>SUM(P18/D18)</f>
        <v/>
      </c>
      <c r="R18" s="130" t="n">
        <v>4556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'15 - 21 March 2021'!D6</f>
        <v/>
      </c>
      <c r="C6" s="255" t="n">
        <v>7718.87</v>
      </c>
      <c r="D6" s="197" t="n">
        <v>239554.84</v>
      </c>
      <c r="E6" s="129" t="n">
        <v>828396.66</v>
      </c>
      <c r="F6" s="162">
        <f>IFERROR((SUM(D6-C6)/C6),0)</f>
        <v/>
      </c>
      <c r="G6" s="154">
        <f>IFERROR((SUM(D6-B6)/B6),0)</f>
        <v/>
      </c>
      <c r="H6" s="149" t="n">
        <v>798</v>
      </c>
      <c r="I6" s="256">
        <f>IFERROR(D6/H6,0)</f>
        <v/>
      </c>
      <c r="J6" s="125" t="n">
        <v>89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/>
      </c>
      <c r="M6" s="171">
        <f>IFERROR(L6/SUM(H6),0)</f>
        <v/>
      </c>
      <c r="N6" s="259" t="n">
        <v>57980.61</v>
      </c>
      <c r="O6" s="128">
        <f>SUM(N6/D6)</f>
        <v/>
      </c>
      <c r="P6" s="260" t="n">
        <v>2089.09</v>
      </c>
      <c r="Q6" s="128">
        <f>SUM(P6/D6)</f>
        <v/>
      </c>
      <c r="R6" s="129" t="n">
        <v>8223</v>
      </c>
      <c r="S6" s="26" t="n"/>
    </row>
    <row r="7" ht="15.6" customHeight="1">
      <c r="A7" s="409" t="inlineStr">
        <is>
          <t>Melrose Arch</t>
        </is>
      </c>
      <c r="B7" s="200">
        <f>'15 - 21 March 2021'!D7</f>
        <v/>
      </c>
      <c r="C7" s="73" t="n">
        <v>0</v>
      </c>
      <c r="D7" s="145" t="n">
        <v>207285.93</v>
      </c>
      <c r="E7" s="145" t="n">
        <v>702527.04</v>
      </c>
      <c r="F7" s="163">
        <f>IFERROR((SUM(D7-C7)/C7),0)</f>
        <v/>
      </c>
      <c r="G7" s="155">
        <f>IFERROR((SUM(D7-B7)/B7),0)</f>
        <v/>
      </c>
      <c r="H7" s="150" t="n">
        <v>633</v>
      </c>
      <c r="I7" s="63">
        <f>IFERROR(D7/H7,0)</f>
        <v/>
      </c>
      <c r="J7" s="61" t="n">
        <v>64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/>
      </c>
      <c r="M7" s="172">
        <f>IFERROR(L7/SUM(H7),0)</f>
        <v/>
      </c>
      <c r="N7" s="260" t="n">
        <v>26165.66</v>
      </c>
      <c r="O7" s="89">
        <f>SUM(N7/D7)</f>
        <v/>
      </c>
      <c r="P7" s="260" t="n">
        <v>9891.219999999999</v>
      </c>
      <c r="Q7" s="89">
        <f>SUM(P7/D7)</f>
        <v/>
      </c>
      <c r="R7" s="130" t="n">
        <v>5679.6</v>
      </c>
      <c r="S7" s="26" t="n"/>
    </row>
    <row r="8" ht="15.6" customHeight="1">
      <c r="A8" s="409" t="inlineStr">
        <is>
          <t>Melville</t>
        </is>
      </c>
      <c r="B8" s="200">
        <f>'15 - 21 March 2021'!D8</f>
        <v/>
      </c>
      <c r="C8" s="73" t="n">
        <v>12440.85</v>
      </c>
      <c r="D8" s="145" t="n">
        <v>106593.48</v>
      </c>
      <c r="E8" s="145" t="n">
        <v>430024</v>
      </c>
      <c r="F8" s="163">
        <f>IFERROR((SUM(D8-C8)/C8),0)</f>
        <v/>
      </c>
      <c r="G8" s="155">
        <f>IFERROR((SUM(D8-B8)/B8),0)</f>
        <v/>
      </c>
      <c r="H8" s="150" t="n">
        <v>420</v>
      </c>
      <c r="I8" s="63">
        <f>IFERROR(D8/H8,0)</f>
        <v/>
      </c>
      <c r="J8" s="61" t="n">
        <v>43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/>
      </c>
      <c r="M8" s="172">
        <f>IFERROR(L8/SUM(H8),0)</f>
        <v/>
      </c>
      <c r="N8" s="260" t="n">
        <v>33060.54</v>
      </c>
      <c r="O8" s="89">
        <f>SUM(N8/D8)</f>
        <v/>
      </c>
      <c r="P8" s="260" t="n">
        <v>11389.26</v>
      </c>
      <c r="Q8" s="89">
        <f>SUM(P8/D8)</f>
        <v/>
      </c>
      <c r="R8" s="130" t="n">
        <v>2387</v>
      </c>
      <c r="S8" s="26" t="n"/>
    </row>
    <row r="9" ht="15.6" customHeight="1">
      <c r="A9" s="409" t="inlineStr">
        <is>
          <t>Rosebank</t>
        </is>
      </c>
      <c r="B9" s="200">
        <f>'15 - 21 March 2021'!D9</f>
        <v/>
      </c>
      <c r="C9" s="73" t="n">
        <v>13726.91</v>
      </c>
      <c r="D9" s="145" t="n">
        <v>211727.89</v>
      </c>
      <c r="E9" s="145" t="n">
        <v>732249.9300000001</v>
      </c>
      <c r="F9" s="163">
        <f>IFERROR((SUM(D9-C9)/C9),0)</f>
        <v/>
      </c>
      <c r="G9" s="155">
        <f>IFERROR((SUM(D9-B9)/B9),0)</f>
        <v/>
      </c>
      <c r="H9" s="150" t="n">
        <v>742</v>
      </c>
      <c r="I9" s="63">
        <f>IFERROR(D9/H9,0)</f>
        <v/>
      </c>
      <c r="J9" s="61" t="n">
        <v>100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/>
      </c>
      <c r="M9" s="172">
        <f>IFERROR(L9/SUM(H9),0)</f>
        <v/>
      </c>
      <c r="N9" s="260" t="n">
        <v>20070.13</v>
      </c>
      <c r="O9" s="89">
        <f>SUM(N9/D9)</f>
        <v/>
      </c>
      <c r="P9" s="260" t="n">
        <v>15481.21</v>
      </c>
      <c r="Q9" s="89">
        <f>SUM(P9/D9)</f>
        <v/>
      </c>
      <c r="R9" s="130" t="n">
        <v>7327.7</v>
      </c>
      <c r="S9" s="26" t="n"/>
    </row>
    <row r="10" ht="15.6" customHeight="1">
      <c r="A10" s="411" t="inlineStr">
        <is>
          <t xml:space="preserve">Waterkloof </t>
        </is>
      </c>
      <c r="B10" s="200">
        <f>'15 - 21 March 2021'!D10</f>
        <v/>
      </c>
      <c r="C10" s="73" t="n">
        <v>5282.99</v>
      </c>
      <c r="D10" s="145" t="n">
        <v>135888.34</v>
      </c>
      <c r="E10" s="145" t="n">
        <v>537579.78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44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/>
      </c>
      <c r="M10" s="172">
        <f>IFERROR(L10/SUM(H10),0)</f>
        <v/>
      </c>
      <c r="N10" s="260" t="n">
        <v>23769.97</v>
      </c>
      <c r="O10" s="89">
        <f>SUM(N10/D10)</f>
        <v/>
      </c>
      <c r="P10" s="260" t="n">
        <v>16949.09</v>
      </c>
      <c r="Q10" s="89">
        <f>SUM(P10/D10)</f>
        <v/>
      </c>
      <c r="R10" s="130" t="n">
        <v>4061.5</v>
      </c>
      <c r="S10" s="26" t="n"/>
    </row>
    <row r="11" ht="15.6" customHeight="1">
      <c r="A11" s="409" t="inlineStr">
        <is>
          <t>Eagles Landing</t>
        </is>
      </c>
      <c r="B11" s="200">
        <f>'15 - 21 March 2021'!D11</f>
        <v/>
      </c>
      <c r="C11" s="73" t="n">
        <v>53288.52</v>
      </c>
      <c r="D11" s="145" t="n">
        <v>269732.1</v>
      </c>
      <c r="E11" s="145" t="n">
        <v>991916.63</v>
      </c>
      <c r="F11" s="163">
        <f>IFERROR((SUM(D11-C11)/C11),0)</f>
        <v/>
      </c>
      <c r="G11" s="155">
        <f>IFERROR((SUM(D11-B11)/B11),0)</f>
        <v/>
      </c>
      <c r="H11" s="150" t="n">
        <v>937</v>
      </c>
      <c r="I11" s="63">
        <f>IFERROR(D11/H11,0)</f>
        <v/>
      </c>
      <c r="J11" s="61" t="n">
        <v>69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/>
      </c>
      <c r="M11" s="172">
        <f>IFERROR(L11/SUM(H11),0)</f>
        <v/>
      </c>
      <c r="N11" s="260" t="n">
        <v>42326.87</v>
      </c>
      <c r="O11" s="89">
        <f>SUM(N11/D11)</f>
        <v/>
      </c>
      <c r="P11" s="260" t="n">
        <v>18619.48</v>
      </c>
      <c r="Q11" s="89">
        <f>SUM(P11/D11)</f>
        <v/>
      </c>
      <c r="R11" s="130" t="n">
        <v>13890.2</v>
      </c>
      <c r="S11" s="26" t="n"/>
    </row>
    <row r="12" ht="15.6" customHeight="1">
      <c r="A12" s="198" t="inlineStr">
        <is>
          <t>Stellenbosch</t>
        </is>
      </c>
      <c r="B12" s="200">
        <f>'15 - 21 March 2021'!D12</f>
        <v/>
      </c>
      <c r="C12" s="73" t="n">
        <v>3497.43</v>
      </c>
      <c r="D12" s="145" t="n">
        <v>104694.16</v>
      </c>
      <c r="E12" s="145" t="n">
        <v>457634.55</v>
      </c>
      <c r="F12" s="163">
        <f>IFERROR((SUM(D12-C12)/C12),0)</f>
        <v/>
      </c>
      <c r="G12" s="155">
        <f>IFERROR((SUM(D12-B12)/B12),0)</f>
        <v/>
      </c>
      <c r="H12" s="150" t="n">
        <v>380</v>
      </c>
      <c r="I12" s="63">
        <f>IFERROR(D12/H12,0)</f>
        <v/>
      </c>
      <c r="J12" s="61" t="n">
        <v>37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/>
      </c>
      <c r="M12" s="172">
        <f>IFERROR(L12/SUM(H12),0)</f>
        <v/>
      </c>
      <c r="N12" s="260" t="n">
        <v>14998.57</v>
      </c>
      <c r="O12" s="89">
        <f>SUM(N12/D12)</f>
        <v/>
      </c>
      <c r="P12" s="260" t="n">
        <v>5520.91</v>
      </c>
      <c r="Q12" s="89">
        <f>SUM(P12/D12)</f>
        <v/>
      </c>
      <c r="R12" s="130" t="n">
        <v>6637</v>
      </c>
      <c r="S12" s="26" t="n"/>
    </row>
    <row r="13" ht="15.6" customHeight="1">
      <c r="A13" s="198" t="inlineStr">
        <is>
          <t>Lynnwood</t>
        </is>
      </c>
      <c r="B13" s="200">
        <f>'15 - 21 March 2021'!D13</f>
        <v/>
      </c>
      <c r="C13" s="73" t="n">
        <v>58443.84</v>
      </c>
      <c r="D13" s="145" t="n">
        <v>186508.59</v>
      </c>
      <c r="E13" s="145" t="n">
        <v>755664.55</v>
      </c>
      <c r="F13" s="163">
        <f>IFERROR((SUM(D13-C13)/C13),0)</f>
        <v/>
      </c>
      <c r="G13" s="155">
        <f>IFERROR((SUM(D13-B13)/B13),0)</f>
        <v/>
      </c>
      <c r="H13" s="150" t="n">
        <v>702</v>
      </c>
      <c r="I13" s="63">
        <f>IFERROR(D13/H13,0)</f>
        <v/>
      </c>
      <c r="J13" s="61" t="n">
        <v>58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/>
      </c>
      <c r="M13" s="172">
        <f>IFERROR(L13/SUM(H13),0)</f>
        <v/>
      </c>
      <c r="N13" s="260" t="n">
        <v>26313.6</v>
      </c>
      <c r="O13" s="89">
        <f>SUM(N13/D13)</f>
        <v/>
      </c>
      <c r="P13" s="260" t="n">
        <v>23511.91</v>
      </c>
      <c r="Q13" s="89">
        <f>SUM(P13/D13)</f>
        <v/>
      </c>
      <c r="R13" s="130" t="n">
        <v>2500</v>
      </c>
      <c r="S13" s="26" t="n"/>
    </row>
    <row r="14" hidden="1" ht="15.6" customHeight="1">
      <c r="A14" s="198" t="inlineStr">
        <is>
          <t>Wellington</t>
        </is>
      </c>
      <c r="B14" s="200">
        <f>'15 - 21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'15 - 21 March 2021'!D15</f>
        <v/>
      </c>
      <c r="C15" s="73" t="n">
        <v>84109.27</v>
      </c>
      <c r="D15" s="145" t="n">
        <v>184312.76</v>
      </c>
      <c r="E15" s="145" t="n">
        <v>727306.87</v>
      </c>
      <c r="F15" s="163">
        <f>IFERROR((SUM(D15-C15)/C15),0)</f>
        <v/>
      </c>
      <c r="G15" s="155">
        <f>IFERROR((SUM(D15-B15)/B15),0)</f>
        <v/>
      </c>
      <c r="H15" s="150" t="n">
        <v>637</v>
      </c>
      <c r="I15" s="63">
        <f>IFERROR(D15/H15,0)</f>
        <v/>
      </c>
      <c r="J15" s="61" t="n">
        <v>42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15318.78</v>
      </c>
      <c r="Q15" s="89">
        <f>SUM(P15/D15)</f>
        <v/>
      </c>
      <c r="R15" s="130" t="n">
        <v>3922.4</v>
      </c>
      <c r="S15" s="9" t="n"/>
    </row>
    <row r="16" ht="15.6" customHeight="1">
      <c r="A16" s="198" t="inlineStr">
        <is>
          <t>Kyalami Corner</t>
        </is>
      </c>
      <c r="B16" s="200">
        <f>'15 - 21 March 2021'!D16</f>
        <v/>
      </c>
      <c r="C16" s="73" t="n">
        <v>2744.65</v>
      </c>
      <c r="D16" s="145" t="n">
        <v>136626.65</v>
      </c>
      <c r="E16" s="145" t="n">
        <v>494355.21</v>
      </c>
      <c r="F16" s="163">
        <f>IFERROR((SUM(D16-C16)/C16),0)</f>
        <v/>
      </c>
      <c r="G16" s="155">
        <f>IFERROR((SUM(D16-B16)/B16),0)</f>
        <v/>
      </c>
      <c r="H16" s="150" t="n">
        <v>502</v>
      </c>
      <c r="I16" s="63">
        <f>IFERROR(D16/H16,0)</f>
        <v/>
      </c>
      <c r="J16" s="61" t="n">
        <v>51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/>
      </c>
      <c r="M16" s="172">
        <f>IFERROR(L16/SUM(H16),0)</f>
        <v/>
      </c>
      <c r="N16" s="260" t="n">
        <v>28736.54</v>
      </c>
      <c r="O16" s="89">
        <f>SUM(N16/D16)</f>
        <v/>
      </c>
      <c r="P16" s="260" t="n">
        <v>17356.78</v>
      </c>
      <c r="Q16" s="89">
        <f>SUM(P16/D16)</f>
        <v/>
      </c>
      <c r="R16" s="130" t="n">
        <v>6539.5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'15 - 21 March 2021'!D17</f>
        <v/>
      </c>
      <c r="C17" s="73" t="n">
        <v>4521.47</v>
      </c>
      <c r="D17" s="145" t="n">
        <v>153117.04</v>
      </c>
      <c r="E17" s="145" t="n">
        <v>636819.91</v>
      </c>
      <c r="F17" s="163">
        <f>IFERROR((SUM(D17-C17)/C17),0)</f>
        <v/>
      </c>
      <c r="G17" s="155">
        <f>IFERROR((SUM(D17-B17)/B17),0)</f>
        <v/>
      </c>
      <c r="H17" s="150" t="n">
        <v>631</v>
      </c>
      <c r="I17" s="63">
        <f>IFERROR(D17/H17,0)</f>
        <v/>
      </c>
      <c r="J17" s="61" t="n">
        <v>67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/>
      </c>
      <c r="M17" s="172">
        <f>IFERROR(L17/SUM(H17),0)</f>
        <v/>
      </c>
      <c r="N17" s="260" t="n">
        <v>33042.04</v>
      </c>
      <c r="O17" s="89">
        <f>SUM(N17/D17)</f>
        <v/>
      </c>
      <c r="P17" s="260" t="n">
        <v>14547.83</v>
      </c>
      <c r="Q17" s="89">
        <f>SUM(P17/D17)</f>
        <v/>
      </c>
      <c r="R17" s="130" t="n">
        <v>5552.45</v>
      </c>
      <c r="S17" s="9" t="n"/>
    </row>
    <row r="18" ht="15.6" customHeight="1">
      <c r="A18" s="198" t="inlineStr">
        <is>
          <t>Queenswood</t>
        </is>
      </c>
      <c r="B18" s="200">
        <f>'15 - 21 March 2021'!D18</f>
        <v/>
      </c>
      <c r="C18" s="73" t="n">
        <v>39887.23</v>
      </c>
      <c r="D18" s="145" t="n">
        <v>146169.39</v>
      </c>
      <c r="E18" s="145" t="n">
        <v>559428.86</v>
      </c>
      <c r="F18" s="163">
        <f>IFERROR((SUM(D18-C18)/C18),0)</f>
        <v/>
      </c>
      <c r="G18" s="155">
        <f>IFERROR((SUM(D18-B18)/B18),0)</f>
        <v/>
      </c>
      <c r="H18" s="150" t="n">
        <v>588</v>
      </c>
      <c r="I18" s="258">
        <f>IFERROR(D18/H18,0)</f>
        <v/>
      </c>
      <c r="J18" s="61" t="n">
        <v>34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/>
      </c>
      <c r="M18" s="172">
        <f>IFERROR(L18/SUM(H18),0)</f>
        <v/>
      </c>
      <c r="N18" s="260" t="n">
        <v>21203.22</v>
      </c>
      <c r="O18" s="89">
        <f>SUM(N18/D18)</f>
        <v/>
      </c>
      <c r="P18" s="260" t="n">
        <v>15255.6</v>
      </c>
      <c r="Q18" s="89">
        <f>SUM(P18/D18)</f>
        <v/>
      </c>
      <c r="R18" s="130" t="n">
        <v>4236.55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'22 - 28 March 2021'!D6</f>
        <v/>
      </c>
      <c r="C6" s="255" t="n">
        <v>302665.29</v>
      </c>
      <c r="D6" s="197" t="n">
        <v>236609.43</v>
      </c>
      <c r="E6" s="129" t="n">
        <v>189270.79</v>
      </c>
      <c r="F6" s="162">
        <f>IFERROR((SUM(D6-C6)/C6),0)</f>
        <v/>
      </c>
      <c r="G6" s="154">
        <f>IFERROR((SUM(D6-B6)/B6),0)</f>
        <v/>
      </c>
      <c r="H6" s="149" t="n">
        <v>745</v>
      </c>
      <c r="I6" s="256">
        <f>IFERROR(D6/H6,0)</f>
        <v/>
      </c>
      <c r="J6" s="125" t="n">
        <v>106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/>
      </c>
      <c r="M6" s="171">
        <f>IFERROR(L6/SUM(H6),0)</f>
        <v/>
      </c>
      <c r="N6" s="259" t="n">
        <v>58386.65</v>
      </c>
      <c r="O6" s="128">
        <f>SUM(N6/D6)</f>
        <v/>
      </c>
      <c r="P6" s="260" t="n">
        <v>0</v>
      </c>
      <c r="Q6" s="128">
        <f>SUM(P6/D6)</f>
        <v/>
      </c>
      <c r="R6" s="129" t="n">
        <v>7349.5</v>
      </c>
      <c r="S6" s="26" t="n"/>
    </row>
    <row r="7" ht="15.6" customHeight="1">
      <c r="A7" s="409" t="inlineStr">
        <is>
          <t>Melrose Arch</t>
        </is>
      </c>
      <c r="B7" s="200">
        <f>'22 - 28 March 2021'!D7</f>
        <v/>
      </c>
      <c r="C7" s="73" t="n">
        <v>258149.93</v>
      </c>
      <c r="D7" s="145" t="n">
        <v>173141.14</v>
      </c>
      <c r="E7" s="145" t="n">
        <v>130184.09</v>
      </c>
      <c r="F7" s="163">
        <f>IFERROR((SUM(D7-C7)/C7),0)</f>
        <v/>
      </c>
      <c r="G7" s="155">
        <f>IFERROR((SUM(D7-B7)/B7),0)</f>
        <v/>
      </c>
      <c r="H7" s="150" t="n">
        <v>594</v>
      </c>
      <c r="I7" s="63">
        <f>IFERROR(D7/H7,0)</f>
        <v/>
      </c>
      <c r="J7" s="61" t="n">
        <v>57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/>
      </c>
      <c r="M7" s="172">
        <f>IFERROR(L7/SUM(H7),0)</f>
        <v/>
      </c>
      <c r="N7" s="260" t="n">
        <v>22586.96</v>
      </c>
      <c r="O7" s="89">
        <f>SUM(N7/D7)</f>
        <v/>
      </c>
      <c r="P7" s="260" t="n">
        <v>10974.26</v>
      </c>
      <c r="Q7" s="89">
        <f>SUM(P7/D7)</f>
        <v/>
      </c>
      <c r="R7" s="130" t="n">
        <v>8280</v>
      </c>
      <c r="S7" s="26" t="n"/>
    </row>
    <row r="8" ht="15.6" customHeight="1">
      <c r="A8" s="409" t="inlineStr">
        <is>
          <t>Melville</t>
        </is>
      </c>
      <c r="B8" s="200">
        <f>'22 - 28 March 2021'!D8</f>
        <v/>
      </c>
      <c r="C8" s="73" t="n">
        <v>136569.38</v>
      </c>
      <c r="D8" s="145" t="n">
        <v>105353.72</v>
      </c>
      <c r="E8" s="145" t="n">
        <v>58122.86</v>
      </c>
      <c r="F8" s="163">
        <f>IFERROR((SUM(D8-C8)/C8),0)</f>
        <v/>
      </c>
      <c r="G8" s="155">
        <f>IFERROR((SUM(D8-B8)/B8),0)</f>
        <v/>
      </c>
      <c r="H8" s="150" t="n">
        <v>409</v>
      </c>
      <c r="I8" s="63">
        <f>IFERROR(D8/H8,0)</f>
        <v/>
      </c>
      <c r="J8" s="61" t="n">
        <v>50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/>
      </c>
      <c r="M8" s="172">
        <f>IFERROR(L8/SUM(H8),0)</f>
        <v/>
      </c>
      <c r="N8" s="260" t="n">
        <v>31805.49</v>
      </c>
      <c r="O8" s="89">
        <f>SUM(N8/D8)</f>
        <v/>
      </c>
      <c r="P8" s="260" t="n">
        <v>10814.78</v>
      </c>
      <c r="Q8" s="89">
        <f>SUM(P8/D8)</f>
        <v/>
      </c>
      <c r="R8" s="130" t="n">
        <v>2698.5</v>
      </c>
      <c r="S8" s="26" t="n"/>
    </row>
    <row r="9" ht="15.6" customHeight="1">
      <c r="A9" s="409" t="inlineStr">
        <is>
          <t>Rosebank</t>
        </is>
      </c>
      <c r="B9" s="200">
        <f>'22 - 28 March 2021'!D9</f>
        <v/>
      </c>
      <c r="C9" s="73" t="n">
        <v>373516.14</v>
      </c>
      <c r="D9" s="145" t="n">
        <v>197422.2</v>
      </c>
      <c r="E9" s="145" t="n">
        <v>138816.32</v>
      </c>
      <c r="F9" s="163">
        <f>IFERROR((SUM(D9-C9)/C9),0)</f>
        <v/>
      </c>
      <c r="G9" s="155">
        <f>IFERROR((SUM(D9-B9)/B9),0)</f>
        <v/>
      </c>
      <c r="H9" s="150" t="n">
        <v>773</v>
      </c>
      <c r="I9" s="63">
        <f>IFERROR(D9/H9,0)</f>
        <v/>
      </c>
      <c r="J9" s="61" t="n">
        <v>72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/>
      </c>
      <c r="M9" s="172">
        <f>IFERROR(L9/SUM(H9),0)</f>
        <v/>
      </c>
      <c r="N9" s="260" t="n">
        <v>13697.22</v>
      </c>
      <c r="O9" s="89">
        <f>SUM(N9/D9)</f>
        <v/>
      </c>
      <c r="P9" s="260" t="n">
        <v>10761.65</v>
      </c>
      <c r="Q9" s="89">
        <f>SUM(P9/D9)</f>
        <v/>
      </c>
      <c r="R9" s="130" t="n">
        <v>5580</v>
      </c>
      <c r="S9" s="26" t="n"/>
    </row>
    <row r="10" ht="15.6" customHeight="1">
      <c r="A10" s="411" t="inlineStr">
        <is>
          <t xml:space="preserve">Waterkloof </t>
        </is>
      </c>
      <c r="B10" s="200">
        <f>'22 - 28 March 2021'!D10</f>
        <v/>
      </c>
      <c r="C10" s="73" t="n">
        <v>160533.82</v>
      </c>
      <c r="D10" s="145" t="n">
        <v>108440.93</v>
      </c>
      <c r="E10" s="145" t="n">
        <v>65876.53</v>
      </c>
      <c r="F10" s="163">
        <f>IFERROR((SUM(D10-C10)/C10),0)</f>
        <v/>
      </c>
      <c r="G10" s="155">
        <f>IFERROR((SUM(D10-B10)/B10),0)</f>
        <v/>
      </c>
      <c r="H10" s="150" t="n">
        <v>433</v>
      </c>
      <c r="I10" s="63">
        <f>IFERROR(D10/H10,0)</f>
        <v/>
      </c>
      <c r="J10" s="61" t="n">
        <v>45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/>
      </c>
      <c r="M10" s="172">
        <f>IFERROR(L10/SUM(H10),0)</f>
        <v/>
      </c>
      <c r="N10" s="260" t="n">
        <v>26612.19</v>
      </c>
      <c r="O10" s="89">
        <f>SUM(N10/D10)</f>
        <v/>
      </c>
      <c r="P10" s="260" t="n">
        <v>16256.6</v>
      </c>
      <c r="Q10" s="89">
        <f>SUM(P10/D10)</f>
        <v/>
      </c>
      <c r="R10" s="130" t="n">
        <v>6731.6</v>
      </c>
      <c r="S10" s="26" t="n"/>
    </row>
    <row r="11" ht="15.6" customHeight="1">
      <c r="A11" s="409" t="inlineStr">
        <is>
          <t>Eagles Landing</t>
        </is>
      </c>
      <c r="B11" s="200">
        <f>'22 - 28 March 2021'!D11</f>
        <v/>
      </c>
      <c r="C11" s="73" t="n">
        <v>390104.3</v>
      </c>
      <c r="D11" s="145" t="n">
        <v>224658.72</v>
      </c>
      <c r="E11" s="145" t="n">
        <v>141947.01</v>
      </c>
      <c r="F11" s="163">
        <f>IFERROR((SUM(D11-C11)/C11),0)</f>
        <v/>
      </c>
      <c r="G11" s="155">
        <f>IFERROR((SUM(D11-B11)/B11),0)</f>
        <v/>
      </c>
      <c r="H11" s="150" t="n">
        <v>793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/>
      </c>
      <c r="M11" s="172">
        <f>IFERROR(L11/SUM(H11),0)</f>
        <v/>
      </c>
      <c r="N11" s="260" t="n">
        <v>25571.61</v>
      </c>
      <c r="O11" s="89">
        <f>SUM(N11/D11)</f>
        <v/>
      </c>
      <c r="P11" s="260" t="n">
        <v>17284.04</v>
      </c>
      <c r="Q11" s="89">
        <f>SUM(P11/D11)</f>
        <v/>
      </c>
      <c r="R11" s="130" t="n">
        <v>6293.5</v>
      </c>
      <c r="S11" s="26" t="n"/>
    </row>
    <row r="12" ht="15.6" customHeight="1">
      <c r="A12" s="198" t="inlineStr">
        <is>
          <t>Stellenbosch</t>
        </is>
      </c>
      <c r="B12" s="200">
        <f>'22 - 28 March 2021'!D12</f>
        <v/>
      </c>
      <c r="C12" s="73" t="n">
        <v>145176.81</v>
      </c>
      <c r="D12" s="145" t="n">
        <v>94333.82000000001</v>
      </c>
      <c r="E12" s="145" t="n">
        <v>51245.62</v>
      </c>
      <c r="F12" s="163">
        <f>IFERROR((SUM(D12-C12)/C12),0)</f>
        <v/>
      </c>
      <c r="G12" s="155">
        <f>IFERROR((SUM(D12-B12)/B12),0)</f>
        <v/>
      </c>
      <c r="H12" s="150" t="n">
        <v>392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/>
      </c>
      <c r="M12" s="172">
        <f>IFERROR(L12/SUM(H12),0)</f>
        <v/>
      </c>
      <c r="N12" s="260" t="n">
        <v>13740.87</v>
      </c>
      <c r="O12" s="89">
        <f>SUM(N12/D12)</f>
        <v/>
      </c>
      <c r="P12" s="260" t="n">
        <v>5019.74</v>
      </c>
      <c r="Q12" s="89">
        <f>SUM(P12/D12)</f>
        <v/>
      </c>
      <c r="R12" s="130" t="n">
        <v>6736</v>
      </c>
      <c r="S12" s="26" t="n"/>
    </row>
    <row r="13" ht="15.6" customHeight="1">
      <c r="A13" s="198" t="inlineStr">
        <is>
          <t>Lynnwood</t>
        </is>
      </c>
      <c r="B13" s="200">
        <f>'22 - 28 March 2021'!D13</f>
        <v/>
      </c>
      <c r="C13" s="73" t="n">
        <v>248268.47</v>
      </c>
      <c r="D13" s="145" t="n">
        <v>180677.39</v>
      </c>
      <c r="E13" s="145" t="n">
        <v>117425.98</v>
      </c>
      <c r="F13" s="163">
        <f>IFERROR((SUM(D13-C13)/C13),0)</f>
        <v/>
      </c>
      <c r="G13" s="155">
        <f>IFERROR((SUM(D13-B13)/B13),0)</f>
        <v/>
      </c>
      <c r="H13" s="150" t="n">
        <v>671</v>
      </c>
      <c r="I13" s="63">
        <f>IFERROR(D13/H13,0)</f>
        <v/>
      </c>
      <c r="J13" s="61" t="n">
        <v>62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/>
      </c>
      <c r="M13" s="172">
        <f>IFERROR(L13/SUM(H13),0)</f>
        <v/>
      </c>
      <c r="N13" s="260" t="n">
        <v>27443.75</v>
      </c>
      <c r="O13" s="89">
        <f>SUM(N13/D13)</f>
        <v/>
      </c>
      <c r="P13" s="260" t="n">
        <v>18432.35</v>
      </c>
      <c r="Q13" s="89">
        <f>SUM(P13/D13)</f>
        <v/>
      </c>
      <c r="R13" s="130" t="n">
        <v>4039.5</v>
      </c>
      <c r="S13" s="26" t="n"/>
    </row>
    <row r="14" hidden="1" ht="15.6" customHeight="1">
      <c r="A14" s="198" t="inlineStr">
        <is>
          <t>Wellington</t>
        </is>
      </c>
      <c r="B14" s="200">
        <f>'22 - 28 March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'22 - 28 March 2021'!D15</f>
        <v/>
      </c>
      <c r="C15" s="73" t="n">
        <v>325247.42</v>
      </c>
      <c r="D15" s="145" t="n">
        <v>327868.75</v>
      </c>
      <c r="E15" s="145" t="n">
        <v>236906.81</v>
      </c>
      <c r="F15" s="163">
        <f>IFERROR((SUM(D15-C15)/C15),0)</f>
        <v/>
      </c>
      <c r="G15" s="155">
        <f>IFERROR((SUM(D15-B15)/B15),0)</f>
        <v/>
      </c>
      <c r="H15" s="150" t="n">
        <v>931</v>
      </c>
      <c r="I15" s="63">
        <f>IFERROR(D15/H15,0)</f>
        <v/>
      </c>
      <c r="J15" s="61" t="n">
        <v>104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18820</v>
      </c>
      <c r="Q15" s="89">
        <f>SUM(P15/D15)</f>
        <v/>
      </c>
      <c r="R15" s="130" t="n">
        <v>6691.65</v>
      </c>
      <c r="S15" s="9" t="n"/>
    </row>
    <row r="16" ht="15.6" customHeight="1">
      <c r="A16" s="198" t="inlineStr">
        <is>
          <t>Kyalami Corner</t>
        </is>
      </c>
      <c r="B16" s="200">
        <f>'22 - 28 March 2021'!D16</f>
        <v/>
      </c>
      <c r="C16" s="73" t="n">
        <v>163350.7</v>
      </c>
      <c r="D16" s="145" t="n">
        <v>121974.5</v>
      </c>
      <c r="E16" s="145" t="n">
        <v>87775.66</v>
      </c>
      <c r="F16" s="163">
        <f>IFERROR((SUM(D16-C16)/C16),0)</f>
        <v/>
      </c>
      <c r="G16" s="155">
        <f>IFERROR((SUM(D16-B16)/B16),0)</f>
        <v/>
      </c>
      <c r="H16" s="150" t="n">
        <v>468</v>
      </c>
      <c r="I16" s="63">
        <f>IFERROR(D16/H16,0)</f>
        <v/>
      </c>
      <c r="J16" s="61" t="n">
        <v>65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/>
      </c>
      <c r="M16" s="172">
        <f>IFERROR(L16/SUM(H16),0)</f>
        <v/>
      </c>
      <c r="N16" s="260" t="n">
        <v>30127.11</v>
      </c>
      <c r="O16" s="89">
        <f>SUM(N16/D16)</f>
        <v/>
      </c>
      <c r="P16" s="260" t="n">
        <v>18869.17</v>
      </c>
      <c r="Q16" s="89">
        <f>SUM(P16/D16)</f>
        <v/>
      </c>
      <c r="R16" s="130" t="n">
        <v>4165</v>
      </c>
      <c r="S16" s="9" t="n"/>
      <c r="V16" s="238" t="n"/>
    </row>
    <row r="17" ht="15.6" customHeight="1">
      <c r="A17" s="251" t="inlineStr">
        <is>
          <t>Paulshof</t>
        </is>
      </c>
      <c r="B17" s="200">
        <f>'22 - 28 March 2021'!D17</f>
        <v/>
      </c>
      <c r="C17" s="73" t="n">
        <v>228911.17</v>
      </c>
      <c r="D17" s="145" t="n">
        <v>135153.09</v>
      </c>
      <c r="E17" s="145" t="n">
        <v>84209.92</v>
      </c>
      <c r="F17" s="163">
        <f>IFERROR((SUM(D17-C17)/C17),0)</f>
        <v/>
      </c>
      <c r="G17" s="155">
        <f>IFERROR((SUM(D17-B17)/B17),0)</f>
        <v/>
      </c>
      <c r="H17" s="150" t="n">
        <v>572</v>
      </c>
      <c r="I17" s="63">
        <f>IFERROR(D17/H17,0)</f>
        <v/>
      </c>
      <c r="J17" s="61" t="n">
        <v>46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/>
      </c>
      <c r="M17" s="172">
        <f>IFERROR(L17/SUM(H17),0)</f>
        <v/>
      </c>
      <c r="N17" s="260" t="n">
        <v>32045.08</v>
      </c>
      <c r="O17" s="89">
        <f>SUM(N17/D17)</f>
        <v/>
      </c>
      <c r="P17" s="260" t="n">
        <v>9191.17</v>
      </c>
      <c r="Q17" s="89">
        <f>SUM(P17/D17)</f>
        <v/>
      </c>
      <c r="R17" s="130" t="n">
        <v>4757.5</v>
      </c>
      <c r="S17" s="9" t="n"/>
    </row>
    <row r="18" ht="15.6" customHeight="1">
      <c r="A18" s="198" t="inlineStr">
        <is>
          <t>Queenswood</t>
        </is>
      </c>
      <c r="B18" s="200">
        <f>'22 - 28 March 2021'!D18</f>
        <v/>
      </c>
      <c r="C18" s="73" t="n">
        <v>184896.66</v>
      </c>
      <c r="D18" s="145" t="n">
        <v>138476.72</v>
      </c>
      <c r="E18" s="145" t="n">
        <v>85646.85000000001</v>
      </c>
      <c r="F18" s="163">
        <f>IFERROR((SUM(D18-C18)/C18),0)</f>
        <v/>
      </c>
      <c r="G18" s="155">
        <f>IFERROR((SUM(D18-B18)/B18),0)</f>
        <v/>
      </c>
      <c r="H18" s="150" t="n">
        <v>520</v>
      </c>
      <c r="I18" s="258">
        <f>IFERROR(D18/H18,0)</f>
        <v/>
      </c>
      <c r="J18" s="61" t="n">
        <v>47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/>
      </c>
      <c r="M18" s="172">
        <f>IFERROR(L18/SUM(H18),0)</f>
        <v/>
      </c>
      <c r="N18" s="260" t="n">
        <v>19784.12</v>
      </c>
      <c r="O18" s="89">
        <f>SUM(N18/D18)</f>
        <v/>
      </c>
      <c r="P18" s="260" t="n">
        <v>12255.52</v>
      </c>
      <c r="Q18" s="89">
        <f>SUM(P18/D18)</f>
        <v/>
      </c>
      <c r="R18" s="130" t="n">
        <v>3694.5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'29 March - 4 April 2021'!D6</f>
        <v/>
      </c>
      <c r="C6" s="255" t="n">
        <v>201679.88</v>
      </c>
      <c r="D6" s="197" t="n">
        <v>258207.15</v>
      </c>
      <c r="E6" s="129" t="n">
        <v>447477.95</v>
      </c>
      <c r="F6" s="162">
        <f>IFERROR((SUM(D6-C6)/C6),0)</f>
        <v/>
      </c>
      <c r="G6" s="154">
        <f>IFERROR((SUM(D6-B6)/B6),0)</f>
        <v/>
      </c>
      <c r="H6" s="149" t="n">
        <v>835</v>
      </c>
      <c r="I6" s="256">
        <f>IFERROR(D6/H6,0)</f>
        <v/>
      </c>
      <c r="J6" s="125" t="n">
        <v>99</v>
      </c>
      <c r="K6" s="126">
        <f>IFERROR(J6/H6,0)</f>
        <v/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/>
      </c>
      <c r="M6" s="171">
        <f>IFERROR(L6/SUM(H6),0)</f>
        <v/>
      </c>
      <c r="N6" s="259" t="n">
        <v>43751.61</v>
      </c>
      <c r="O6" s="128">
        <f>SUM(N6/D6)</f>
        <v/>
      </c>
      <c r="P6" s="260" t="n">
        <v>0</v>
      </c>
      <c r="Q6" s="128">
        <f>SUM(P6/D6)</f>
        <v/>
      </c>
      <c r="R6" s="129" t="n">
        <v>9203.4</v>
      </c>
      <c r="S6" s="26" t="n"/>
    </row>
    <row r="7" ht="15.6" customHeight="1">
      <c r="A7" s="409" t="inlineStr">
        <is>
          <t>Melrose Arch</t>
        </is>
      </c>
      <c r="B7" s="200">
        <f>'29 March - 4 April 2021'!D7</f>
        <v/>
      </c>
      <c r="C7" s="73" t="n">
        <v>184805.59</v>
      </c>
      <c r="D7" s="145" t="n">
        <v>181224.09</v>
      </c>
      <c r="E7" s="145" t="n">
        <v>311408.18</v>
      </c>
      <c r="F7" s="163">
        <f>IFERROR((SUM(D7-C7)/C7),0)</f>
        <v/>
      </c>
      <c r="G7" s="155">
        <f>IFERROR((SUM(D7-B7)/B7),0)</f>
        <v/>
      </c>
      <c r="H7" s="150" t="n">
        <v>665</v>
      </c>
      <c r="I7" s="63">
        <f>IFERROR(D7/H7,0)</f>
        <v/>
      </c>
      <c r="J7" s="61" t="n">
        <v>53</v>
      </c>
      <c r="K7" s="28">
        <f>IFERROR(J7/H7,0)</f>
        <v/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/>
      </c>
      <c r="M7" s="172">
        <f>IFERROR(L7/SUM(H7),0)</f>
        <v/>
      </c>
      <c r="N7" s="260" t="n">
        <v>17801.26</v>
      </c>
      <c r="O7" s="89">
        <f>SUM(N7/D7)</f>
        <v/>
      </c>
      <c r="P7" s="260" t="n">
        <v>14194.3</v>
      </c>
      <c r="Q7" s="89">
        <f>SUM(P7/D7)</f>
        <v/>
      </c>
      <c r="R7" s="130" t="n">
        <v>7441.2</v>
      </c>
      <c r="S7" s="26" t="n"/>
    </row>
    <row r="8" ht="15.6" customHeight="1">
      <c r="A8" s="409" t="inlineStr">
        <is>
          <t>Melville</t>
        </is>
      </c>
      <c r="B8" s="200">
        <f>'29 March - 4 April 2021'!D8</f>
        <v/>
      </c>
      <c r="C8" s="73" t="n">
        <v>128771.64</v>
      </c>
      <c r="D8" s="145" t="n">
        <v>91734.23</v>
      </c>
      <c r="E8" s="145" t="n">
        <v>149857.09</v>
      </c>
      <c r="F8" s="163">
        <f>IFERROR((SUM(D8-C8)/C8),0)</f>
        <v/>
      </c>
      <c r="G8" s="155">
        <f>IFERROR((SUM(D8-B8)/B8),0)</f>
        <v/>
      </c>
      <c r="H8" s="150" t="n">
        <v>374</v>
      </c>
      <c r="I8" s="63">
        <f>IFERROR(D8/H8,0)</f>
        <v/>
      </c>
      <c r="J8" s="61" t="n">
        <v>51</v>
      </c>
      <c r="K8" s="28">
        <f>IFERROR(J8/H8,0)</f>
        <v/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/>
      </c>
      <c r="M8" s="172">
        <f>IFERROR(L8/SUM(H8),0)</f>
        <v/>
      </c>
      <c r="N8" s="260" t="n">
        <v>25718.5</v>
      </c>
      <c r="O8" s="89">
        <f>SUM(N8/D8)</f>
        <v/>
      </c>
      <c r="P8" s="260" t="n">
        <v>12574.19</v>
      </c>
      <c r="Q8" s="89">
        <f>SUM(P8/D8)</f>
        <v/>
      </c>
      <c r="R8" s="130" t="n">
        <v>3228.5</v>
      </c>
      <c r="S8" s="26" t="n"/>
    </row>
    <row r="9" ht="15.6" customHeight="1">
      <c r="A9" s="409" t="inlineStr">
        <is>
          <t>Rosebank</t>
        </is>
      </c>
      <c r="B9" s="200">
        <f>'29 March - 4 April 2021'!D9</f>
        <v/>
      </c>
      <c r="C9" s="73" t="n">
        <v>287782.46</v>
      </c>
      <c r="D9" s="145" t="n">
        <v>185992.05</v>
      </c>
      <c r="E9" s="145" t="n">
        <v>324808.37</v>
      </c>
      <c r="F9" s="163">
        <f>IFERROR((SUM(D9-C9)/C9),0)</f>
        <v/>
      </c>
      <c r="G9" s="155">
        <f>IFERROR((SUM(D9-B9)/B9),0)</f>
        <v/>
      </c>
      <c r="H9" s="150" t="n">
        <v>759</v>
      </c>
      <c r="I9" s="63">
        <f>IFERROR(D9/H9,0)</f>
        <v/>
      </c>
      <c r="J9" s="61" t="n">
        <v>83</v>
      </c>
      <c r="K9" s="28">
        <f>IFERROR(J9/H9,0)</f>
        <v/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/>
      </c>
      <c r="M9" s="172">
        <f>IFERROR(L9/SUM(H9),0)</f>
        <v/>
      </c>
      <c r="N9" s="260" t="n">
        <v>23159.83</v>
      </c>
      <c r="O9" s="89">
        <f>SUM(N9/D9)</f>
        <v/>
      </c>
      <c r="P9" s="260" t="n">
        <v>13982.6</v>
      </c>
      <c r="Q9" s="89">
        <f>SUM(P9/D9)</f>
        <v/>
      </c>
      <c r="R9" s="130" t="n">
        <v>11454.9</v>
      </c>
      <c r="S9" s="26" t="n"/>
    </row>
    <row r="10" ht="15.6" customHeight="1">
      <c r="A10" s="411" t="inlineStr">
        <is>
          <t xml:space="preserve">Waterkloof </t>
        </is>
      </c>
      <c r="B10" s="200">
        <f>'29 March - 4 April 2021'!D10</f>
        <v/>
      </c>
      <c r="C10" s="73" t="n">
        <v>139046.1</v>
      </c>
      <c r="D10" s="145" t="n">
        <v>140346.83</v>
      </c>
      <c r="E10" s="145" t="n">
        <v>206223.36</v>
      </c>
      <c r="F10" s="163">
        <f>IFERROR((SUM(D10-C10)/C10),0)</f>
        <v/>
      </c>
      <c r="G10" s="155">
        <f>IFERROR((SUM(D10-B10)/B10),0)</f>
        <v/>
      </c>
      <c r="H10" s="150" t="n">
        <v>493</v>
      </c>
      <c r="I10" s="63">
        <f>IFERROR(D10/H10,0)</f>
        <v/>
      </c>
      <c r="J10" s="61" t="n">
        <v>50</v>
      </c>
      <c r="K10" s="28">
        <f>IFERROR(J10/H10,0)</f>
        <v/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/>
      </c>
      <c r="M10" s="172">
        <f>IFERROR(L10/SUM(H10),0)</f>
        <v/>
      </c>
      <c r="N10" s="260" t="n">
        <v>27132.22</v>
      </c>
      <c r="O10" s="89">
        <f>SUM(N10/D10)</f>
        <v/>
      </c>
      <c r="P10" s="260" t="n">
        <v>20471.04</v>
      </c>
      <c r="Q10" s="89">
        <f>SUM(P10/D10)</f>
        <v/>
      </c>
      <c r="R10" s="130" t="n">
        <v>6319.55</v>
      </c>
      <c r="S10" s="26" t="n"/>
    </row>
    <row r="11" ht="15.6" customHeight="1">
      <c r="A11" s="409" t="inlineStr">
        <is>
          <t>Eagles Landing</t>
        </is>
      </c>
      <c r="B11" s="200">
        <f>'29 March - 4 April 2021'!D11</f>
        <v/>
      </c>
      <c r="C11" s="73" t="n">
        <v>339715.46</v>
      </c>
      <c r="D11" s="145" t="n">
        <v>234239.76</v>
      </c>
      <c r="E11" s="145" t="n">
        <v>376186.77</v>
      </c>
      <c r="F11" s="163">
        <f>IFERROR((SUM(D11-C11)/C11),0)</f>
        <v/>
      </c>
      <c r="G11" s="155">
        <f>IFERROR((SUM(D11-B11)/B11),0)</f>
        <v/>
      </c>
      <c r="H11" s="150" t="n">
        <v>863</v>
      </c>
      <c r="I11" s="63">
        <f>IFERROR(D11/H11,0)</f>
        <v/>
      </c>
      <c r="J11" s="61" t="n">
        <v>82</v>
      </c>
      <c r="K11" s="28">
        <f>IFERROR(J11/H11,0)</f>
        <v/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/>
      </c>
      <c r="M11" s="172">
        <f>IFERROR(L11/SUM(H11),0)</f>
        <v/>
      </c>
      <c r="N11" s="260" t="n">
        <v>37165.3</v>
      </c>
      <c r="O11" s="89">
        <f>SUM(N11/D11)</f>
        <v/>
      </c>
      <c r="P11" s="260" t="n">
        <v>16020.87</v>
      </c>
      <c r="Q11" s="89">
        <f>SUM(P11/D11)</f>
        <v/>
      </c>
      <c r="R11" s="130" t="n">
        <v>9341</v>
      </c>
      <c r="S11" s="26" t="n"/>
    </row>
    <row r="12" ht="15.6" customHeight="1">
      <c r="A12" s="198" t="inlineStr">
        <is>
          <t>Stellenbosch</t>
        </is>
      </c>
      <c r="B12" s="200">
        <f>'29 March - 4 April 2021'!D12</f>
        <v/>
      </c>
      <c r="C12" s="73" t="n">
        <v>151603.94</v>
      </c>
      <c r="D12" s="145" t="n">
        <v>97582.09</v>
      </c>
      <c r="E12" s="145" t="n">
        <v>148827.71</v>
      </c>
      <c r="F12" s="163">
        <f>IFERROR((SUM(D12-C12)/C12),0)</f>
        <v/>
      </c>
      <c r="G12" s="155">
        <f>IFERROR((SUM(D12-B12)/B12),0)</f>
        <v/>
      </c>
      <c r="H12" s="150" t="n">
        <v>390</v>
      </c>
      <c r="I12" s="63">
        <f>IFERROR(D12/H12,0)</f>
        <v/>
      </c>
      <c r="J12" s="61" t="n">
        <v>34</v>
      </c>
      <c r="K12" s="28">
        <f>IFERROR(J12/H12,0)</f>
        <v/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/>
      </c>
      <c r="M12" s="172">
        <f>IFERROR(L12/SUM(H12),0)</f>
        <v/>
      </c>
      <c r="N12" s="260" t="n">
        <v>11924.26</v>
      </c>
      <c r="O12" s="89">
        <f>SUM(N12/D12)</f>
        <v/>
      </c>
      <c r="P12" s="260" t="n">
        <v>9058.65</v>
      </c>
      <c r="Q12" s="89">
        <f>SUM(P12/D12)</f>
        <v/>
      </c>
      <c r="R12" s="130" t="n">
        <v>8267</v>
      </c>
      <c r="S12" s="26" t="n"/>
    </row>
    <row r="13" ht="15.6" customHeight="1">
      <c r="A13" s="198" t="inlineStr">
        <is>
          <t>Lynnwood</t>
        </is>
      </c>
      <c r="B13" s="200">
        <f>'29 March - 4 April 2021'!D13</f>
        <v/>
      </c>
      <c r="C13" s="73" t="n">
        <v>204317.08</v>
      </c>
      <c r="D13" s="145" t="n">
        <v>176649.13</v>
      </c>
      <c r="E13" s="145" t="n">
        <v>296075.11</v>
      </c>
      <c r="F13" s="163">
        <f>IFERROR((SUM(D13-C13)/C13),0)</f>
        <v/>
      </c>
      <c r="G13" s="155">
        <f>IFERROR((SUM(D13-B13)/B13),0)</f>
        <v/>
      </c>
      <c r="H13" s="150" t="n">
        <v>682</v>
      </c>
      <c r="I13" s="63">
        <f>IFERROR(D13/H13,0)</f>
        <v/>
      </c>
      <c r="J13" s="61" t="n">
        <v>42</v>
      </c>
      <c r="K13" s="28">
        <f>IFERROR(J13/H13,0)</f>
        <v/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/>
      </c>
      <c r="M13" s="172">
        <f>IFERROR(L13/SUM(H13),0)</f>
        <v/>
      </c>
      <c r="N13" s="260" t="n">
        <v>26521.17</v>
      </c>
      <c r="O13" s="89">
        <f>SUM(N13/D13)</f>
        <v/>
      </c>
      <c r="P13" s="260" t="n">
        <v>19440.57</v>
      </c>
      <c r="Q13" s="89">
        <f>SUM(P13/D13)</f>
        <v/>
      </c>
      <c r="R13" s="130" t="n">
        <v>2663.5</v>
      </c>
      <c r="S13" s="26" t="n"/>
    </row>
    <row r="14" hidden="1" ht="15.6" customHeight="1">
      <c r="A14" s="198" t="inlineStr">
        <is>
          <t>Wellington</t>
        </is>
      </c>
      <c r="B14" s="200">
        <f>'29 March - 4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'29 March - 4 April 2021'!D15</f>
        <v/>
      </c>
      <c r="C15" s="73" t="n">
        <v>170092.54</v>
      </c>
      <c r="D15" s="145" t="n">
        <v>241778.39</v>
      </c>
      <c r="E15" s="145" t="n">
        <v>478684.2</v>
      </c>
      <c r="F15" s="163">
        <f>IFERROR((SUM(D15-C15)/C15),0)</f>
        <v/>
      </c>
      <c r="G15" s="155">
        <f>IFERROR((SUM(D15-B15)/B15),0)</f>
        <v/>
      </c>
      <c r="H15" s="150" t="n">
        <v>753</v>
      </c>
      <c r="I15" s="63">
        <f>IFERROR(D15/H15,0)</f>
        <v/>
      </c>
      <c r="J15" s="61" t="n">
        <v>63</v>
      </c>
      <c r="K15" s="28">
        <f>IFERROR(J15/H15,0)</f>
        <v/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18646.52</v>
      </c>
      <c r="Q15" s="89">
        <f>SUM(P15/D15)</f>
        <v/>
      </c>
      <c r="R15" s="130" t="n">
        <v>2831</v>
      </c>
      <c r="S15" s="9" t="n"/>
    </row>
    <row r="16" ht="15.6" customHeight="1">
      <c r="A16" s="198" t="inlineStr">
        <is>
          <t>Kyalami Corner</t>
        </is>
      </c>
      <c r="B16" s="200">
        <f>'29 March - 4 April 2021'!D16</f>
        <v/>
      </c>
      <c r="C16" s="73" t="n">
        <v>112828.63</v>
      </c>
      <c r="D16" s="145" t="n">
        <v>119730.4</v>
      </c>
      <c r="E16" s="145" t="n">
        <v>207506.06</v>
      </c>
      <c r="F16" s="163">
        <f>IFERROR((SUM(D16-C16)/C16),0)</f>
        <v/>
      </c>
      <c r="G16" s="155">
        <f>IFERROR((SUM(D16-B16)/B16),0)</f>
        <v/>
      </c>
      <c r="H16" s="150" t="n">
        <v>462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/>
      </c>
      <c r="M16" s="172">
        <f>IFERROR(L16/SUM(H16),0)</f>
        <v/>
      </c>
      <c r="N16" s="260" t="n">
        <v>28975.6</v>
      </c>
      <c r="O16" s="89">
        <f>SUM(N16/D16)</f>
        <v/>
      </c>
      <c r="P16" s="260" t="n">
        <v>12756.96</v>
      </c>
      <c r="Q16" s="89">
        <f>SUM(P16/D16)</f>
        <v/>
      </c>
      <c r="R16" s="130" t="n">
        <v>4824.5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'29 March - 4 April 2021'!D17</f>
        <v/>
      </c>
      <c r="C17" s="73" t="n">
        <v>212238.52</v>
      </c>
      <c r="D17" s="145" t="n">
        <v>161232.97</v>
      </c>
      <c r="E17" s="145" t="n">
        <v>245442.89</v>
      </c>
      <c r="F17" s="163">
        <f>IFERROR((SUM(D17-C17)/C17),0)</f>
        <v/>
      </c>
      <c r="G17" s="155">
        <f>IFERROR((SUM(D17-B17)/B17),0)</f>
        <v/>
      </c>
      <c r="H17" s="150" t="n">
        <v>658</v>
      </c>
      <c r="I17" s="63">
        <f>IFERROR(D17/H17,0)</f>
        <v/>
      </c>
      <c r="J17" s="61" t="n">
        <v>56</v>
      </c>
      <c r="K17" s="28">
        <f>IFERROR(J17/H17,0)</f>
        <v/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/>
      </c>
      <c r="M17" s="172">
        <f>IFERROR(L17/SUM(H17),0)</f>
        <v/>
      </c>
      <c r="N17" s="260" t="n">
        <v>24770.19</v>
      </c>
      <c r="O17" s="89">
        <f>SUM(N17/D17)</f>
        <v/>
      </c>
      <c r="P17" s="260" t="n">
        <v>16270.61</v>
      </c>
      <c r="Q17" s="89">
        <f>SUM(P17/D17)</f>
        <v/>
      </c>
      <c r="R17" s="130" t="n">
        <v>4975.2</v>
      </c>
      <c r="S17" s="9" t="n"/>
    </row>
    <row r="18" ht="15.6" customHeight="1">
      <c r="A18" s="198" t="inlineStr">
        <is>
          <t>Queenswood</t>
        </is>
      </c>
      <c r="B18" s="200">
        <f>'29 March - 4 April 2021'!D18</f>
        <v/>
      </c>
      <c r="C18" s="73" t="n">
        <v>183791.17</v>
      </c>
      <c r="D18" s="145" t="n">
        <v>127761.5</v>
      </c>
      <c r="E18" s="145" t="n">
        <v>213408.35</v>
      </c>
      <c r="F18" s="163">
        <f>IFERROR((SUM(D18-C18)/C18),0)</f>
        <v/>
      </c>
      <c r="G18" s="155">
        <f>IFERROR((SUM(D18-B18)/B18),0)</f>
        <v/>
      </c>
      <c r="H18" s="150" t="n">
        <v>551</v>
      </c>
      <c r="I18" s="258">
        <f>IFERROR(D18/H18,0)</f>
        <v/>
      </c>
      <c r="J18" s="61" t="n">
        <v>52</v>
      </c>
      <c r="K18" s="28">
        <f>IFERROR(J18/H18,0)</f>
        <v/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/>
      </c>
      <c r="M18" s="172">
        <f>IFERROR(L18/SUM(H18),0)</f>
        <v/>
      </c>
      <c r="N18" s="260" t="n">
        <v>17686.61</v>
      </c>
      <c r="O18" s="89">
        <f>SUM(N18/D18)</f>
        <v/>
      </c>
      <c r="P18" s="260" t="n">
        <v>15718.38</v>
      </c>
      <c r="Q18" s="89">
        <f>SUM(P18/D18)</f>
        <v/>
      </c>
      <c r="R18" s="130" t="n">
        <v>4115.5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'5 - 11 April 2021'!D6</f>
        <v/>
      </c>
      <c r="C6" s="255" t="n">
        <v>230488.04</v>
      </c>
      <c r="D6" s="197" t="n">
        <v>217480.61</v>
      </c>
      <c r="E6" s="129" t="n">
        <v>664958.5600000001</v>
      </c>
      <c r="F6" s="162">
        <f>IFERROR((SUM(D6-C6)/C6),0)</f>
        <v/>
      </c>
      <c r="G6" s="154">
        <f>IFERROR((SUM(D6-B6)/B6),0)</f>
        <v/>
      </c>
      <c r="H6" s="149" t="n">
        <v>666</v>
      </c>
      <c r="I6" s="256">
        <f>IFERROR(D6/H6,0)</f>
        <v/>
      </c>
      <c r="J6" s="125" t="n">
        <v>44</v>
      </c>
      <c r="K6" s="126">
        <f>IFERROR(J6/H6,0)</f>
        <v/>
      </c>
      <c r="L6" s="46">
        <f>J6</f>
        <v/>
      </c>
      <c r="M6" s="171">
        <f>IFERROR(L6/SUM(H6),0)</f>
        <v/>
      </c>
      <c r="N6" s="259" t="n">
        <v>46038.26</v>
      </c>
      <c r="O6" s="128">
        <f>SUM(N6/D6)</f>
        <v/>
      </c>
      <c r="P6" s="260" t="n">
        <v>834.3</v>
      </c>
      <c r="Q6" s="128">
        <f>SUM(P6/D6)</f>
        <v/>
      </c>
      <c r="R6" s="129" t="n">
        <v>8044.9</v>
      </c>
      <c r="S6" s="26" t="n"/>
    </row>
    <row r="7" ht="15.6" customHeight="1">
      <c r="A7" s="409" t="inlineStr">
        <is>
          <t>Melrose Arch</t>
        </is>
      </c>
      <c r="B7" s="200">
        <f>'5 - 11 April 2021'!D7</f>
        <v/>
      </c>
      <c r="C7" s="73" t="n">
        <v>184585.22</v>
      </c>
      <c r="D7" s="145" t="n">
        <v>179455.47</v>
      </c>
      <c r="E7" s="145" t="n">
        <v>490863.65</v>
      </c>
      <c r="F7" s="163">
        <f>IFERROR((SUM(D7-C7)/C7),0)</f>
        <v/>
      </c>
      <c r="G7" s="155">
        <f>IFERROR((SUM(D7-B7)/B7),0)</f>
        <v/>
      </c>
      <c r="H7" s="150" t="n">
        <v>675</v>
      </c>
      <c r="I7" s="63">
        <f>IFERROR(D7/H7,0)</f>
        <v/>
      </c>
      <c r="J7" s="61" t="n">
        <v>62</v>
      </c>
      <c r="K7" s="28">
        <f>IFERROR(J7/H7,0)</f>
        <v/>
      </c>
      <c r="L7" s="46">
        <f>J7</f>
        <v/>
      </c>
      <c r="M7" s="172">
        <f>IFERROR(L7/SUM(H7),0)</f>
        <v/>
      </c>
      <c r="N7" s="260" t="n">
        <v>22300.7</v>
      </c>
      <c r="O7" s="89">
        <f>SUM(N7/D7)</f>
        <v/>
      </c>
      <c r="P7" s="260" t="n">
        <v>11565.3</v>
      </c>
      <c r="Q7" s="89">
        <f>SUM(P7/D7)</f>
        <v/>
      </c>
      <c r="R7" s="130" t="n">
        <v>11208.35</v>
      </c>
      <c r="S7" s="26" t="n"/>
    </row>
    <row r="8" ht="15.6" customHeight="1">
      <c r="A8" s="409" t="inlineStr">
        <is>
          <t>Melville</t>
        </is>
      </c>
      <c r="B8" s="200">
        <f>'5 - 11 April 2021'!D8</f>
        <v/>
      </c>
      <c r="C8" s="73" t="n">
        <v>114183.99</v>
      </c>
      <c r="D8" s="145" t="n">
        <v>87710.19</v>
      </c>
      <c r="E8" s="145" t="n">
        <v>237567.28</v>
      </c>
      <c r="F8" s="163">
        <f>IFERROR((SUM(D8-C8)/C8),0)</f>
        <v/>
      </c>
      <c r="G8" s="155">
        <f>IFERROR((SUM(D8-B8)/B8),0)</f>
        <v/>
      </c>
      <c r="H8" s="150" t="n">
        <v>352</v>
      </c>
      <c r="I8" s="63">
        <f>IFERROR(D8/H8,0)</f>
        <v/>
      </c>
      <c r="J8" s="61" t="n">
        <v>32</v>
      </c>
      <c r="K8" s="28">
        <f>IFERROR(J8/H8,0)</f>
        <v/>
      </c>
      <c r="L8" s="46">
        <f>J8</f>
        <v/>
      </c>
      <c r="M8" s="172">
        <f>IFERROR(L8/SUM(H8),0)</f>
        <v/>
      </c>
      <c r="N8" s="260" t="n">
        <v>27401.57</v>
      </c>
      <c r="O8" s="89">
        <f>SUM(N8/D8)</f>
        <v/>
      </c>
      <c r="P8" s="260" t="n">
        <v>11291.83</v>
      </c>
      <c r="Q8" s="89">
        <f>SUM(P8/D8)</f>
        <v/>
      </c>
      <c r="R8" s="130" t="n">
        <v>2669</v>
      </c>
      <c r="S8" s="26" t="n"/>
    </row>
    <row r="9" ht="15.6" customHeight="1">
      <c r="A9" s="409" t="inlineStr">
        <is>
          <t>Rosebank</t>
        </is>
      </c>
      <c r="B9" s="200">
        <f>'5 - 11 April 2021'!D9</f>
        <v/>
      </c>
      <c r="C9" s="73" t="n">
        <v>300470.18</v>
      </c>
      <c r="D9" s="145" t="n">
        <v>185413.17</v>
      </c>
      <c r="E9" s="145" t="n">
        <v>510221.54</v>
      </c>
      <c r="F9" s="163">
        <f>IFERROR((SUM(D9-C9)/C9),0)</f>
        <v/>
      </c>
      <c r="G9" s="155">
        <f>IFERROR((SUM(D9-B9)/B9),0)</f>
        <v/>
      </c>
      <c r="H9" s="150" t="n">
        <v>685</v>
      </c>
      <c r="I9" s="63">
        <f>IFERROR(D9/H9,0)</f>
        <v/>
      </c>
      <c r="J9" s="61" t="n">
        <v>23</v>
      </c>
      <c r="K9" s="28">
        <f>IFERROR(J9/H9,0)</f>
        <v/>
      </c>
      <c r="L9" s="46">
        <f>J9</f>
        <v/>
      </c>
      <c r="M9" s="172">
        <f>IFERROR(L9/SUM(H9),0)</f>
        <v/>
      </c>
      <c r="N9" s="260" t="n">
        <v>17520.26</v>
      </c>
      <c r="O9" s="89">
        <f>SUM(N9/D9)</f>
        <v/>
      </c>
      <c r="P9" s="260" t="n">
        <v>14126.7</v>
      </c>
      <c r="Q9" s="89">
        <f>SUM(P9/D9)</f>
        <v/>
      </c>
      <c r="R9" s="130" t="n">
        <v>10049.25</v>
      </c>
      <c r="S9" s="26" t="n"/>
    </row>
    <row r="10" ht="15.6" customHeight="1">
      <c r="A10" s="411" t="inlineStr">
        <is>
          <t xml:space="preserve">Waterkloof </t>
        </is>
      </c>
      <c r="B10" s="200">
        <f>'5 - 11 April 2021'!D10</f>
        <v/>
      </c>
      <c r="C10" s="73" t="n">
        <v>128193.73</v>
      </c>
      <c r="D10" s="145" t="n">
        <v>123492.34</v>
      </c>
      <c r="E10" s="145" t="n">
        <v>329715.7</v>
      </c>
      <c r="F10" s="163">
        <f>IFERROR((SUM(D10-C10)/C10),0)</f>
        <v/>
      </c>
      <c r="G10" s="155">
        <f>IFERROR((SUM(D10-B10)/B10),0)</f>
        <v/>
      </c>
      <c r="H10" s="150" t="n">
        <v>468</v>
      </c>
      <c r="I10" s="63">
        <f>IFERROR(D10/H10,0)</f>
        <v/>
      </c>
      <c r="J10" s="61" t="n">
        <v>37</v>
      </c>
      <c r="K10" s="28">
        <f>IFERROR(J10/H10,0)</f>
        <v/>
      </c>
      <c r="L10" s="46">
        <f>J10</f>
        <v/>
      </c>
      <c r="M10" s="172">
        <f>IFERROR(L10/SUM(H10),0)</f>
        <v/>
      </c>
      <c r="N10" s="260" t="n">
        <v>28078.83</v>
      </c>
      <c r="O10" s="89">
        <f>SUM(N10/D10)</f>
        <v/>
      </c>
      <c r="P10" s="260" t="n">
        <v>16067.43</v>
      </c>
      <c r="Q10" s="89">
        <f>SUM(P10/D10)</f>
        <v/>
      </c>
      <c r="R10" s="130" t="n">
        <v>6934.3</v>
      </c>
      <c r="S10" s="26" t="n"/>
    </row>
    <row r="11" ht="15.6" customHeight="1">
      <c r="A11" s="409" t="inlineStr">
        <is>
          <t>Eagles Landing</t>
        </is>
      </c>
      <c r="B11" s="200">
        <f>'5 - 11 April 2021'!D11</f>
        <v/>
      </c>
      <c r="C11" s="73" t="n">
        <v>308450.45</v>
      </c>
      <c r="D11" s="145" t="n">
        <v>250526.02</v>
      </c>
      <c r="E11" s="145" t="n">
        <v>626712.79</v>
      </c>
      <c r="F11" s="163">
        <f>IFERROR((SUM(D11-C11)/C11),0)</f>
        <v/>
      </c>
      <c r="G11" s="155">
        <f>IFERROR((SUM(D11-B11)/B11),0)</f>
        <v/>
      </c>
      <c r="H11" s="150" t="n">
        <v>906</v>
      </c>
      <c r="I11" s="63">
        <f>IFERROR(D11/H11,0)</f>
        <v/>
      </c>
      <c r="J11" s="61" t="n">
        <v>104</v>
      </c>
      <c r="K11" s="28">
        <f>IFERROR(J11/H11,0)</f>
        <v/>
      </c>
      <c r="L11" s="46">
        <f>J11</f>
        <v/>
      </c>
      <c r="M11" s="172">
        <f>IFERROR(L11/SUM(H11),0)</f>
        <v/>
      </c>
      <c r="N11" s="260" t="n">
        <v>37584.09</v>
      </c>
      <c r="O11" s="89">
        <f>SUM(N11/D11)</f>
        <v/>
      </c>
      <c r="P11" s="260" t="n">
        <v>17177.35</v>
      </c>
      <c r="Q11" s="89">
        <f>SUM(P11/D11)</f>
        <v/>
      </c>
      <c r="R11" s="130" t="n">
        <v>16339.2</v>
      </c>
      <c r="S11" s="26" t="n"/>
    </row>
    <row r="12" ht="15.6" customHeight="1">
      <c r="A12" s="198" t="inlineStr">
        <is>
          <t>Stellenbosch</t>
        </is>
      </c>
      <c r="B12" s="200">
        <f>'5 - 11 April 2021'!D12</f>
        <v/>
      </c>
      <c r="C12" s="73" t="n">
        <v>140833.69</v>
      </c>
      <c r="D12" s="145" t="n">
        <v>95613.78999999999</v>
      </c>
      <c r="E12" s="145" t="n">
        <v>244441.5</v>
      </c>
      <c r="F12" s="163">
        <f>IFERROR((SUM(D12-C12)/C12),0)</f>
        <v/>
      </c>
      <c r="G12" s="155">
        <f>IFERROR((SUM(D12-B12)/B12),0)</f>
        <v/>
      </c>
      <c r="H12" s="150" t="n">
        <v>396</v>
      </c>
      <c r="I12" s="63">
        <f>IFERROR(D12/H12,0)</f>
        <v/>
      </c>
      <c r="J12" s="61" t="n">
        <v>48</v>
      </c>
      <c r="K12" s="28">
        <f>IFERROR(J12/H12,0)</f>
        <v/>
      </c>
      <c r="L12" s="46">
        <f>J12</f>
        <v/>
      </c>
      <c r="M12" s="172">
        <f>IFERROR(L12/SUM(H12),0)</f>
        <v/>
      </c>
      <c r="N12" s="260" t="n">
        <v>12723.91</v>
      </c>
      <c r="O12" s="89">
        <f>SUM(N12/D12)</f>
        <v/>
      </c>
      <c r="P12" s="260" t="n">
        <v>9196.99</v>
      </c>
      <c r="Q12" s="89">
        <f>SUM(P12/D12)</f>
        <v/>
      </c>
      <c r="R12" s="130" t="n">
        <v>6524.5</v>
      </c>
      <c r="S12" s="26" t="n"/>
    </row>
    <row r="13" ht="15.6" customHeight="1">
      <c r="A13" s="198" t="inlineStr">
        <is>
          <t>Lynnwood</t>
        </is>
      </c>
      <c r="B13" s="200">
        <f>'5 - 11 April 2021'!D13</f>
        <v/>
      </c>
      <c r="C13" s="73" t="n">
        <v>194170.35</v>
      </c>
      <c r="D13" s="145" t="n">
        <v>181135.9</v>
      </c>
      <c r="E13" s="145" t="n">
        <v>477211.01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55</v>
      </c>
      <c r="K13" s="28">
        <f>IFERROR(J13/H13,0)</f>
        <v/>
      </c>
      <c r="L13" s="46">
        <f>J13</f>
        <v/>
      </c>
      <c r="M13" s="172">
        <f>IFERROR(L13/SUM(H13),0)</f>
        <v/>
      </c>
      <c r="N13" s="260" t="n">
        <v>27235.57</v>
      </c>
      <c r="O13" s="89">
        <f>SUM(N13/D13)</f>
        <v/>
      </c>
      <c r="P13" s="260" t="n">
        <v>19409.12</v>
      </c>
      <c r="Q13" s="89">
        <f>SUM(P13/D13)</f>
        <v/>
      </c>
      <c r="R13" s="130" t="n">
        <v>2117.5</v>
      </c>
      <c r="S13" s="26" t="n"/>
    </row>
    <row r="14" hidden="1" ht="15.6" customHeight="1">
      <c r="A14" s="198" t="inlineStr">
        <is>
          <t>Wellington</t>
        </is>
      </c>
      <c r="B14" s="200">
        <f>'5 - 11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'5 - 11 April 2021'!D15</f>
        <v/>
      </c>
      <c r="C15" s="73" t="n">
        <v>269262.97</v>
      </c>
      <c r="D15" s="145" t="n">
        <v>169093.03</v>
      </c>
      <c r="E15" s="145" t="n">
        <v>647777.23</v>
      </c>
      <c r="F15" s="163">
        <f>IFERROR((SUM(D15-C15)/C15),0)</f>
        <v/>
      </c>
      <c r="G15" s="155">
        <f>IFERROR((SUM(D15-B15)/B15),0)</f>
        <v/>
      </c>
      <c r="H15" s="150" t="n">
        <v>605</v>
      </c>
      <c r="I15" s="63">
        <f>IFERROR(D15/H15,0)</f>
        <v/>
      </c>
      <c r="J15" s="61" t="n">
        <v>102</v>
      </c>
      <c r="K15" s="28">
        <f>IFERROR(J15/H15,0)</f>
        <v/>
      </c>
      <c r="L15" s="46">
        <f>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14672.35</v>
      </c>
      <c r="Q15" s="89">
        <f>SUM(P15/D15)</f>
        <v/>
      </c>
      <c r="R15" s="130" t="n">
        <v>3989.1</v>
      </c>
      <c r="S15" s="9" t="n"/>
    </row>
    <row r="16" ht="15.6" customHeight="1">
      <c r="A16" s="198" t="inlineStr">
        <is>
          <t>Kyalami Corner</t>
        </is>
      </c>
      <c r="B16" s="200">
        <f>'5 - 11 April 2021'!D16</f>
        <v/>
      </c>
      <c r="C16" s="73" t="n">
        <v>133685.73</v>
      </c>
      <c r="D16" s="145" t="n">
        <v>112492.7</v>
      </c>
      <c r="E16" s="145" t="n">
        <v>319998.75</v>
      </c>
      <c r="F16" s="163">
        <f>IFERROR((SUM(D16-C16)/C16),0)</f>
        <v/>
      </c>
      <c r="G16" s="155">
        <f>IFERROR((SUM(D16-B16)/B16),0)</f>
        <v/>
      </c>
      <c r="H16" s="150" t="n">
        <v>438</v>
      </c>
      <c r="I16" s="63">
        <f>IFERROR(D16/H16,0)</f>
        <v/>
      </c>
      <c r="J16" s="61" t="n">
        <v>53</v>
      </c>
      <c r="K16" s="28">
        <f>IFERROR(J16/H16,0)</f>
        <v/>
      </c>
      <c r="L16" s="46">
        <f>J16</f>
        <v/>
      </c>
      <c r="M16" s="172">
        <f>IFERROR(L16/SUM(H16),0)</f>
        <v/>
      </c>
      <c r="N16" s="260" t="n">
        <v>24320.13</v>
      </c>
      <c r="O16" s="89">
        <f>SUM(N16/D16)</f>
        <v/>
      </c>
      <c r="P16" s="260" t="n">
        <v>14916.52</v>
      </c>
      <c r="Q16" s="89">
        <f>SUM(P16/D16)</f>
        <v/>
      </c>
      <c r="R16" s="130" t="n">
        <v>10219</v>
      </c>
      <c r="S16" s="9" t="n"/>
      <c r="V16" s="238" t="n"/>
    </row>
    <row r="17" ht="15.6" customHeight="1">
      <c r="A17" s="251" t="inlineStr">
        <is>
          <t>Paulshof</t>
        </is>
      </c>
      <c r="B17" s="200">
        <f>'5 - 11 April 2021'!D17</f>
        <v/>
      </c>
      <c r="C17" s="73" t="n">
        <v>201945.52</v>
      </c>
      <c r="D17" s="145" t="n">
        <v>159048.68</v>
      </c>
      <c r="E17" s="145" t="n">
        <v>404491.57</v>
      </c>
      <c r="F17" s="163">
        <f>IFERROR((SUM(D17-C17)/C17),0)</f>
        <v/>
      </c>
      <c r="G17" s="155">
        <f>IFERROR((SUM(D17-B17)/B17),0)</f>
        <v/>
      </c>
      <c r="H17" s="150" t="n">
        <v>626</v>
      </c>
      <c r="I17" s="63">
        <f>IFERROR(D17/H17,0)</f>
        <v/>
      </c>
      <c r="J17" s="61" t="n">
        <v>58</v>
      </c>
      <c r="K17" s="28">
        <f>IFERROR(J17/H17,0)</f>
        <v/>
      </c>
      <c r="L17" s="46">
        <f>J17</f>
        <v/>
      </c>
      <c r="M17" s="172">
        <f>IFERROR(L17/SUM(H17),0)</f>
        <v/>
      </c>
      <c r="N17" s="260" t="n">
        <v>24090.43</v>
      </c>
      <c r="O17" s="89">
        <f>SUM(N17/D17)</f>
        <v/>
      </c>
      <c r="P17" s="260" t="n">
        <v>18000.7</v>
      </c>
      <c r="Q17" s="89">
        <f>SUM(P17/D17)</f>
        <v/>
      </c>
      <c r="R17" s="130" t="n">
        <v>5766.9</v>
      </c>
      <c r="S17" s="9" t="n"/>
    </row>
    <row r="18" ht="15.6" customHeight="1">
      <c r="A18" s="198" t="inlineStr">
        <is>
          <t>Queenswood</t>
        </is>
      </c>
      <c r="B18" s="200">
        <f>'5 - 11 April 2021'!D18</f>
        <v/>
      </c>
      <c r="C18" s="73" t="n">
        <v>172115.51</v>
      </c>
      <c r="D18" s="145" t="n">
        <v>143288.02</v>
      </c>
      <c r="E18" s="145" t="n">
        <v>356696.37</v>
      </c>
      <c r="F18" s="163">
        <f>IFERROR((SUM(D18-C18)/C18),0)</f>
        <v/>
      </c>
      <c r="G18" s="155">
        <f>IFERROR((SUM(D18-B18)/B18),0)</f>
        <v/>
      </c>
      <c r="H18" s="150" t="n">
        <v>543</v>
      </c>
      <c r="I18" s="258">
        <f>IFERROR(D18/H18,0)</f>
        <v/>
      </c>
      <c r="J18" s="61" t="n">
        <v>153</v>
      </c>
      <c r="K18" s="28">
        <f>IFERROR(J18/H18,0)</f>
        <v/>
      </c>
      <c r="L18" s="46">
        <f>J18</f>
        <v/>
      </c>
      <c r="M18" s="172">
        <f>IFERROR(L18/SUM(H18),0)</f>
        <v/>
      </c>
      <c r="N18" s="260" t="n">
        <v>23332.13</v>
      </c>
      <c r="O18" s="89">
        <f>SUM(N18/D18)</f>
        <v/>
      </c>
      <c r="P18" s="260" t="n">
        <v>13479.9</v>
      </c>
      <c r="Q18" s="89">
        <f>SUM(P18/D18)</f>
        <v/>
      </c>
      <c r="R18" s="130" t="n">
        <v>4572.5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>
        <f>J19+'2 - 8 Nov 2020'!J19</f>
        <v/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'12 - 18 April 2021'!D6</f>
        <v/>
      </c>
      <c r="C6" s="255" t="n">
        <v>278639.64</v>
      </c>
      <c r="D6" s="197" t="n">
        <v>229636.49</v>
      </c>
      <c r="E6" s="129" t="n">
        <v>894595.05</v>
      </c>
      <c r="F6" s="162">
        <f>IFERROR((SUM(D6-C6)/C6),0)</f>
        <v/>
      </c>
      <c r="G6" s="154">
        <f>IFERROR((SUM(D6-B6)/B6),0)</f>
        <v/>
      </c>
      <c r="H6" s="149" t="n">
        <v>713</v>
      </c>
      <c r="I6" s="256">
        <f>IFERROR(D6/H6,0)</f>
        <v/>
      </c>
      <c r="J6" s="125" t="n">
        <v>56</v>
      </c>
      <c r="K6" s="126">
        <f>IFERROR(J6/H6,0)</f>
        <v/>
      </c>
      <c r="L6" s="46">
        <f>J6+'12 - 18 April 2021'!L6</f>
        <v/>
      </c>
      <c r="M6" s="171">
        <f>IFERROR(L6/SUM(H6),0)</f>
        <v/>
      </c>
      <c r="N6" s="259" t="n">
        <v>51912.13</v>
      </c>
      <c r="O6" s="128">
        <f>SUM(N6/D6)</f>
        <v/>
      </c>
      <c r="P6" s="260" t="n">
        <v>0</v>
      </c>
      <c r="Q6" s="128">
        <f>SUM(P6/D6)</f>
        <v/>
      </c>
      <c r="R6" s="129" t="n">
        <v>11296.6</v>
      </c>
      <c r="S6" s="26" t="n"/>
    </row>
    <row r="7" ht="15.6" customHeight="1">
      <c r="A7" s="409" t="inlineStr">
        <is>
          <t>Melrose Arch</t>
        </is>
      </c>
      <c r="B7" s="200">
        <f>'12 - 18 April 2021'!D7</f>
        <v/>
      </c>
      <c r="C7" s="73" t="n">
        <v>205425.47</v>
      </c>
      <c r="D7" s="145" t="n">
        <v>160664.57</v>
      </c>
      <c r="E7" s="145" t="n">
        <v>651528.22</v>
      </c>
      <c r="F7" s="163">
        <f>IFERROR((SUM(D7-C7)/C7),0)</f>
        <v/>
      </c>
      <c r="G7" s="155">
        <f>IFERROR((SUM(D7-B7)/B7),0)</f>
        <v/>
      </c>
      <c r="H7" s="150" t="n">
        <v>581</v>
      </c>
      <c r="I7" s="63">
        <f>IFERROR(D7/H7,0)</f>
        <v/>
      </c>
      <c r="J7" s="61" t="n">
        <v>76</v>
      </c>
      <c r="K7" s="28">
        <f>IFERROR(J7/H7,0)</f>
        <v/>
      </c>
      <c r="L7" s="46">
        <f>J7+'12 - 18 April 2021'!L7</f>
        <v/>
      </c>
      <c r="M7" s="172">
        <f>IFERROR(L7/SUM(H7),0)</f>
        <v/>
      </c>
      <c r="N7" s="260" t="n">
        <v>21126.2</v>
      </c>
      <c r="O7" s="89">
        <f>SUM(N7/D7)</f>
        <v/>
      </c>
      <c r="P7" s="260" t="n">
        <v>12694.78</v>
      </c>
      <c r="Q7" s="89">
        <f>SUM(P7/D7)</f>
        <v/>
      </c>
      <c r="R7" s="130" t="n">
        <v>5463.95</v>
      </c>
      <c r="S7" s="26" t="n"/>
    </row>
    <row r="8" ht="15.6" customHeight="1">
      <c r="A8" s="409" t="inlineStr">
        <is>
          <t>Melville</t>
        </is>
      </c>
      <c r="B8" s="200">
        <f>'12 - 18 April 2021'!D8</f>
        <v/>
      </c>
      <c r="C8" s="73" t="n">
        <v>125462.37</v>
      </c>
      <c r="D8" s="145" t="n">
        <v>89032.8</v>
      </c>
      <c r="E8" s="145" t="n">
        <v>326600.08</v>
      </c>
      <c r="F8" s="163">
        <f>IFERROR((SUM(D8-C8)/C8),0)</f>
        <v/>
      </c>
      <c r="G8" s="155">
        <f>IFERROR((SUM(D8-B8)/B8),0)</f>
        <v/>
      </c>
      <c r="H8" s="150" t="n">
        <v>373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</f>
        <v/>
      </c>
      <c r="M8" s="172">
        <f>IFERROR(L8/SUM(H8),0)</f>
        <v/>
      </c>
      <c r="N8" s="260" t="n">
        <v>32481.54</v>
      </c>
      <c r="O8" s="89">
        <f>SUM(N8/D8)</f>
        <v/>
      </c>
      <c r="P8" s="260" t="n">
        <v>11587.43</v>
      </c>
      <c r="Q8" s="89">
        <f>SUM(P8/D8)</f>
        <v/>
      </c>
      <c r="R8" s="130" t="n">
        <v>2936.5</v>
      </c>
      <c r="S8" s="26" t="n"/>
    </row>
    <row r="9" ht="15.6" customHeight="1">
      <c r="A9" s="409" t="inlineStr">
        <is>
          <t>Rosebank</t>
        </is>
      </c>
      <c r="B9" s="200">
        <f>'12 - 18 April 2021'!D9</f>
        <v/>
      </c>
      <c r="C9" s="73" t="n">
        <v>341411.74</v>
      </c>
      <c r="D9" s="145" t="n">
        <v>204139.39</v>
      </c>
      <c r="E9" s="145" t="n">
        <v>714360.9300000001</v>
      </c>
      <c r="F9" s="163">
        <f>IFERROR((SUM(D9-C9)/C9),0)</f>
        <v/>
      </c>
      <c r="G9" s="155">
        <f>IFERROR((SUM(D9-B9)/B9),0)</f>
        <v/>
      </c>
      <c r="H9" s="150" t="n">
        <v>749</v>
      </c>
      <c r="I9" s="63">
        <f>IFERROR(D9/H9,0)</f>
        <v/>
      </c>
      <c r="J9" s="61" t="n">
        <v>37</v>
      </c>
      <c r="K9" s="28">
        <f>IFERROR(J9/H9,0)</f>
        <v/>
      </c>
      <c r="L9" s="46">
        <f>J9+'12 - 18 April 2021'!L9</f>
        <v/>
      </c>
      <c r="M9" s="172">
        <f>IFERROR(L9/SUM(H9),0)</f>
        <v/>
      </c>
      <c r="N9" s="260" t="n">
        <v>16832.25</v>
      </c>
      <c r="O9" s="89">
        <f>SUM(N9/D9)</f>
        <v/>
      </c>
      <c r="P9" s="260" t="n">
        <v>15095.22</v>
      </c>
      <c r="Q9" s="89">
        <f>SUM(P9/D9)</f>
        <v/>
      </c>
      <c r="R9" s="130" t="n">
        <v>9973.5</v>
      </c>
      <c r="S9" s="26" t="n"/>
    </row>
    <row r="10" ht="15.6" customHeight="1">
      <c r="A10" s="411" t="inlineStr">
        <is>
          <t xml:space="preserve">Waterkloof </t>
        </is>
      </c>
      <c r="B10" s="200">
        <f>'12 - 18 April 2021'!D10</f>
        <v/>
      </c>
      <c r="C10" s="73" t="n">
        <v>137627.16</v>
      </c>
      <c r="D10" s="145" t="n">
        <v>135624.76</v>
      </c>
      <c r="E10" s="145" t="n">
        <v>465340.46</v>
      </c>
      <c r="F10" s="163">
        <f>IFERROR((SUM(D10-C10)/C10),0)</f>
        <v/>
      </c>
      <c r="G10" s="155">
        <f>IFERROR((SUM(D10-B10)/B10),0)</f>
        <v/>
      </c>
      <c r="H10" s="150" t="n">
        <v>479</v>
      </c>
      <c r="I10" s="63">
        <f>IFERROR(D10/H10,0)</f>
        <v/>
      </c>
      <c r="J10" s="61" t="n">
        <v>55</v>
      </c>
      <c r="K10" s="28">
        <f>IFERROR(J10/H10,0)</f>
        <v/>
      </c>
      <c r="L10" s="46">
        <f>J10+'12 - 18 April 2021'!L10</f>
        <v/>
      </c>
      <c r="M10" s="172">
        <f>IFERROR(L10/SUM(H10),0)</f>
        <v/>
      </c>
      <c r="N10" s="260" t="n">
        <v>31060.39</v>
      </c>
      <c r="O10" s="89">
        <f>SUM(N10/D10)</f>
        <v/>
      </c>
      <c r="P10" s="260" t="n">
        <v>18764.91</v>
      </c>
      <c r="Q10" s="89">
        <f>SUM(P10/D10)</f>
        <v/>
      </c>
      <c r="R10" s="130" t="n">
        <v>8960.5</v>
      </c>
      <c r="S10" s="26" t="n"/>
    </row>
    <row r="11" ht="15.6" customHeight="1">
      <c r="A11" s="409" t="inlineStr">
        <is>
          <t>Eagles Landing</t>
        </is>
      </c>
      <c r="B11" s="200">
        <f>'12 - 18 April 2021'!D11</f>
        <v/>
      </c>
      <c r="C11" s="73" t="n">
        <v>342630.09</v>
      </c>
      <c r="D11" s="145" t="n">
        <v>230674.35</v>
      </c>
      <c r="E11" s="145" t="n">
        <v>857387.14</v>
      </c>
      <c r="F11" s="163">
        <f>IFERROR((SUM(D11-C11)/C11),0)</f>
        <v/>
      </c>
      <c r="G11" s="155">
        <f>IFERROR((SUM(D11-B11)/B11),0)</f>
        <v/>
      </c>
      <c r="H11" s="150" t="n">
        <v>875</v>
      </c>
      <c r="I11" s="63">
        <f>IFERROR(D11/H11,0)</f>
        <v/>
      </c>
      <c r="J11" s="61" t="n">
        <v>91</v>
      </c>
      <c r="K11" s="28">
        <f>IFERROR(J11/H11,0)</f>
        <v/>
      </c>
      <c r="L11" s="46">
        <f>J11+'12 - 18 April 2021'!L11</f>
        <v/>
      </c>
      <c r="M11" s="172">
        <f>IFERROR(L11/SUM(H11),0)</f>
        <v/>
      </c>
      <c r="N11" s="260" t="n">
        <v>38209.35</v>
      </c>
      <c r="O11" s="89">
        <f>SUM(N11/D11)</f>
        <v/>
      </c>
      <c r="P11" s="260" t="n">
        <v>17671.74</v>
      </c>
      <c r="Q11" s="89">
        <f>SUM(P11/D11)</f>
        <v/>
      </c>
      <c r="R11" s="130" t="n">
        <v>11965.2</v>
      </c>
      <c r="S11" s="26" t="n"/>
    </row>
    <row r="12" ht="15.6" customHeight="1">
      <c r="A12" s="198" t="inlineStr">
        <is>
          <t>Stellenbosch</t>
        </is>
      </c>
      <c r="B12" s="200">
        <f>'12 - 18 April 2021'!D12</f>
        <v/>
      </c>
      <c r="C12" s="73" t="n">
        <v>163242.43</v>
      </c>
      <c r="D12" s="145" t="n">
        <v>103180.73</v>
      </c>
      <c r="E12" s="145" t="n">
        <v>347622.23</v>
      </c>
      <c r="F12" s="163">
        <f>IFERROR((SUM(D12-C12)/C12),0)</f>
        <v/>
      </c>
      <c r="G12" s="155">
        <f>IFERROR((SUM(D12-B12)/B12),0)</f>
        <v/>
      </c>
      <c r="H12" s="150" t="n">
        <v>408</v>
      </c>
      <c r="I12" s="63">
        <f>IFERROR(D12/H12,0)</f>
        <v/>
      </c>
      <c r="J12" s="61" t="n">
        <v>49</v>
      </c>
      <c r="K12" s="28">
        <f>IFERROR(J12/H12,0)</f>
        <v/>
      </c>
      <c r="L12" s="46">
        <f>J12+'12 - 18 April 2021'!L12</f>
        <v/>
      </c>
      <c r="M12" s="172">
        <f>IFERROR(L12/SUM(H12),0)</f>
        <v/>
      </c>
      <c r="N12" s="260" t="n">
        <v>16955.37</v>
      </c>
      <c r="O12" s="89">
        <f>SUM(N12/D12)</f>
        <v/>
      </c>
      <c r="P12" s="260" t="n">
        <v>5540.43</v>
      </c>
      <c r="Q12" s="89">
        <f>SUM(P12/D12)</f>
        <v/>
      </c>
      <c r="R12" s="130" t="n">
        <v>7149.1</v>
      </c>
      <c r="S12" s="26" t="n"/>
    </row>
    <row r="13" ht="15.6" customHeight="1">
      <c r="A13" s="198" t="inlineStr">
        <is>
          <t>Lynnwood</t>
        </is>
      </c>
      <c r="B13" s="200">
        <f>'12 - 18 April 2021'!D13</f>
        <v/>
      </c>
      <c r="C13" s="73" t="n">
        <v>206365.41</v>
      </c>
      <c r="D13" s="145" t="n">
        <v>180607.58</v>
      </c>
      <c r="E13" s="145" t="n">
        <v>657818.59</v>
      </c>
      <c r="F13" s="163">
        <f>IFERROR((SUM(D13-C13)/C13),0)</f>
        <v/>
      </c>
      <c r="G13" s="155">
        <f>IFERROR((SUM(D13-B13)/B13),0)</f>
        <v/>
      </c>
      <c r="H13" s="150" t="n">
        <v>680</v>
      </c>
      <c r="I13" s="63">
        <f>IFERROR(D13/H13,0)</f>
        <v/>
      </c>
      <c r="J13" s="61" t="n">
        <v>71</v>
      </c>
      <c r="K13" s="28">
        <f>IFERROR(J13/H13,0)</f>
        <v/>
      </c>
      <c r="L13" s="46">
        <f>J13+'12 - 18 April 2021'!L13</f>
        <v/>
      </c>
      <c r="M13" s="172">
        <f>IFERROR(L13/SUM(H13),0)</f>
        <v/>
      </c>
      <c r="N13" s="260" t="n">
        <v>27101.33</v>
      </c>
      <c r="O13" s="89">
        <f>SUM(N13/D13)</f>
        <v/>
      </c>
      <c r="P13" s="260" t="n">
        <v>26190.26</v>
      </c>
      <c r="Q13" s="89">
        <f>SUM(P13/D13)</f>
        <v/>
      </c>
      <c r="R13" s="130" t="n">
        <v>3047.75</v>
      </c>
      <c r="S13" s="26" t="n"/>
    </row>
    <row r="14" hidden="1" ht="15.6" customHeight="1">
      <c r="A14" s="198" t="inlineStr">
        <is>
          <t>Wellington</t>
        </is>
      </c>
      <c r="B14" s="200">
        <f>'12 - 18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'12 - 18 April 2021'!D15</f>
        <v/>
      </c>
      <c r="C15" s="73" t="n">
        <v>212160.14</v>
      </c>
      <c r="D15" s="145" t="n">
        <v>241634.12</v>
      </c>
      <c r="E15" s="145" t="n">
        <v>889411.35</v>
      </c>
      <c r="F15" s="163">
        <f>IFERROR((SUM(D15-C15)/C15),0)</f>
        <v/>
      </c>
      <c r="G15" s="155">
        <f>IFERROR((SUM(D15-B15)/B15),0)</f>
        <v/>
      </c>
      <c r="H15" s="150" t="n">
        <v>746</v>
      </c>
      <c r="I15" s="63">
        <f>IFERROR(D15/H15,0)</f>
        <v/>
      </c>
      <c r="J15" s="61" t="n">
        <v>93</v>
      </c>
      <c r="K15" s="28">
        <f>IFERROR(J15/H15,0)</f>
        <v/>
      </c>
      <c r="L15" s="46">
        <f>J15+'12 - 18 April 2021'!L15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20562.87</v>
      </c>
      <c r="Q15" s="89">
        <f>SUM(P15/D15)</f>
        <v/>
      </c>
      <c r="R15" s="130" t="n">
        <v>7416.05</v>
      </c>
      <c r="S15" s="9" t="n"/>
    </row>
    <row r="16" ht="15.6" customHeight="1">
      <c r="A16" s="198" t="inlineStr">
        <is>
          <t>Kyalami Corner</t>
        </is>
      </c>
      <c r="B16" s="200">
        <f>'12 - 18 April 2021'!D16</f>
        <v/>
      </c>
      <c r="C16" s="73" t="n">
        <v>122313.92</v>
      </c>
      <c r="D16" s="145" t="n">
        <v>130219.14</v>
      </c>
      <c r="E16" s="145" t="n">
        <v>450217.9</v>
      </c>
      <c r="F16" s="163">
        <f>IFERROR((SUM(D16-C16)/C16),0)</f>
        <v/>
      </c>
      <c r="G16" s="155">
        <f>IFERROR((SUM(D16-B16)/B16),0)</f>
        <v/>
      </c>
      <c r="H16" s="150" t="n">
        <v>476</v>
      </c>
      <c r="I16" s="63">
        <f>IFERROR(D16/H16,0)</f>
        <v/>
      </c>
      <c r="J16" s="61" t="n">
        <v>29</v>
      </c>
      <c r="K16" s="28">
        <f>IFERROR(J16/H16,0)</f>
        <v/>
      </c>
      <c r="L16" s="46">
        <f>J16+'12 - 18 April 2021'!L16</f>
        <v/>
      </c>
      <c r="M16" s="172">
        <f>IFERROR(L16/SUM(H16),0)</f>
        <v/>
      </c>
      <c r="N16" s="260" t="n">
        <v>30342.25</v>
      </c>
      <c r="O16" s="89">
        <f>SUM(N16/D16)</f>
        <v/>
      </c>
      <c r="P16" s="260" t="n">
        <v>16002.7</v>
      </c>
      <c r="Q16" s="89">
        <f>SUM(P16/D16)</f>
        <v/>
      </c>
      <c r="R16" s="130" t="n">
        <v>5973.5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'12 - 18 April 2021'!D17</f>
        <v/>
      </c>
      <c r="C17" s="73" t="n">
        <v>213194.65</v>
      </c>
      <c r="D17" s="145" t="n">
        <v>149272.72</v>
      </c>
      <c r="E17" s="145" t="n">
        <v>553764.29</v>
      </c>
      <c r="F17" s="163">
        <f>IFERROR((SUM(D17-C17)/C17),0)</f>
        <v/>
      </c>
      <c r="G17" s="155">
        <f>IFERROR((SUM(D17-B17)/B17),0)</f>
        <v/>
      </c>
      <c r="H17" s="150" t="n">
        <v>586</v>
      </c>
      <c r="I17" s="63">
        <f>IFERROR(D17/H17,0)</f>
        <v/>
      </c>
      <c r="J17" s="61" t="n">
        <v>85</v>
      </c>
      <c r="K17" s="28">
        <f>IFERROR(J17/H17,0)</f>
        <v/>
      </c>
      <c r="L17" s="46">
        <f>J17+'12 - 18 April 2021'!L17</f>
        <v/>
      </c>
      <c r="M17" s="172">
        <f>IFERROR(L17/SUM(H17),0)</f>
        <v/>
      </c>
      <c r="N17" s="260" t="n">
        <v>29118.2</v>
      </c>
      <c r="O17" s="89">
        <f>SUM(N17/D17)</f>
        <v/>
      </c>
      <c r="P17" s="260" t="n">
        <v>13923.58</v>
      </c>
      <c r="Q17" s="89">
        <f>SUM(P17/D17)</f>
        <v/>
      </c>
      <c r="R17" s="130" t="n">
        <v>5086.5</v>
      </c>
      <c r="S17" s="9" t="n"/>
    </row>
    <row r="18" ht="15.6" customHeight="1">
      <c r="A18" s="198" t="inlineStr">
        <is>
          <t>Queenswood</t>
        </is>
      </c>
      <c r="B18" s="200">
        <f>'12 - 18 April 2021'!D18</f>
        <v/>
      </c>
      <c r="C18" s="73" t="n">
        <v>178200.51</v>
      </c>
      <c r="D18" s="145" t="n">
        <v>145568.47</v>
      </c>
      <c r="E18" s="145" t="n">
        <v>502264.84</v>
      </c>
      <c r="F18" s="163">
        <f>IFERROR((SUM(D18-C18)/C18),0)</f>
        <v/>
      </c>
      <c r="G18" s="155">
        <f>IFERROR((SUM(D18-B18)/B18),0)</f>
        <v/>
      </c>
      <c r="H18" s="150" t="n">
        <v>548</v>
      </c>
      <c r="I18" s="258">
        <f>IFERROR(D18/H18,0)</f>
        <v/>
      </c>
      <c r="J18" s="61" t="n">
        <v>103</v>
      </c>
      <c r="K18" s="28">
        <f>IFERROR(J18/H18,0)</f>
        <v/>
      </c>
      <c r="L18" s="46">
        <f>J18+'12 - 18 April 2021'!L18</f>
        <v/>
      </c>
      <c r="M18" s="172">
        <f>IFERROR(L18/SUM(H18),0)</f>
        <v/>
      </c>
      <c r="N18" s="260" t="n">
        <v>20796.38</v>
      </c>
      <c r="O18" s="89">
        <f>SUM(N18/D18)</f>
        <v/>
      </c>
      <c r="P18" s="260" t="n">
        <v>14188.96</v>
      </c>
      <c r="Q18" s="89">
        <f>SUM(P18/D18)</f>
        <v/>
      </c>
      <c r="R18" s="130" t="n">
        <v>4799.9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'19 - 25 April 2021'!D6</f>
        <v/>
      </c>
      <c r="C6" s="255" t="n">
        <v>302080.89</v>
      </c>
      <c r="D6" s="197" t="n">
        <v>282442.31</v>
      </c>
      <c r="E6" s="129" t="n">
        <v>92662.25</v>
      </c>
      <c r="F6" s="162">
        <f>IFERROR((SUM(D6-C6)/C6),0)</f>
        <v/>
      </c>
      <c r="G6" s="154">
        <f>IFERROR((SUM(D6-B6)/B6),0)</f>
        <v/>
      </c>
      <c r="H6" s="149" t="n">
        <v>877</v>
      </c>
      <c r="I6" s="256">
        <f>IFERROR(D6/H6,0)</f>
        <v/>
      </c>
      <c r="J6" s="125" t="n">
        <v>52</v>
      </c>
      <c r="K6" s="126">
        <f>IFERROR(J6/H6,0)</f>
        <v/>
      </c>
      <c r="L6" s="46">
        <f>J6+'12 - 18 April 2021'!L6+'19 - 25 April 2021'!J6</f>
        <v/>
      </c>
      <c r="M6" s="171">
        <f>IFERROR(L6/SUM(H6),0)</f>
        <v/>
      </c>
      <c r="N6" s="259" t="n">
        <v>64082.26</v>
      </c>
      <c r="O6" s="128">
        <f>SUM(N6/D6)</f>
        <v/>
      </c>
      <c r="P6" s="260" t="n">
        <v>0</v>
      </c>
      <c r="Q6" s="128">
        <f>SUM(P6/D6)</f>
        <v/>
      </c>
      <c r="R6" s="129" t="n">
        <v>8062.4</v>
      </c>
      <c r="S6" s="26" t="n"/>
    </row>
    <row r="7" ht="15.6" customHeight="1">
      <c r="A7" s="409" t="inlineStr">
        <is>
          <t>Melrose Arch</t>
        </is>
      </c>
      <c r="B7" s="200">
        <f>'19 - 25 April 2021'!D7</f>
        <v/>
      </c>
      <c r="C7" s="73" t="n">
        <v>255815.43</v>
      </c>
      <c r="D7" s="145" t="n">
        <v>187544.1</v>
      </c>
      <c r="E7" s="145" t="n">
        <v>55110.28</v>
      </c>
      <c r="F7" s="163">
        <f>IFERROR((SUM(D7-C7)/C7),0)</f>
        <v/>
      </c>
      <c r="G7" s="155">
        <f>IFERROR((SUM(D7-B7)/B7),0)</f>
        <v/>
      </c>
      <c r="H7" s="150" t="n">
        <v>648</v>
      </c>
      <c r="I7" s="63">
        <f>IFERROR(D7/H7,0)</f>
        <v/>
      </c>
      <c r="J7" s="61" t="n">
        <v>61</v>
      </c>
      <c r="K7" s="28">
        <f>IFERROR(J7/H7,0)</f>
        <v/>
      </c>
      <c r="L7" s="46">
        <f>J7+'12 - 18 April 2021'!L7+'19 - 25 April 2021'!J7</f>
        <v/>
      </c>
      <c r="M7" s="172">
        <f>IFERROR(L7/SUM(H7),0)</f>
        <v/>
      </c>
      <c r="N7" s="260" t="n">
        <v>24590.94</v>
      </c>
      <c r="O7" s="89">
        <f>SUM(N7/D7)</f>
        <v/>
      </c>
      <c r="P7" s="260" t="n">
        <v>11981.57</v>
      </c>
      <c r="Q7" s="89">
        <f>SUM(P7/D7)</f>
        <v/>
      </c>
      <c r="R7" s="130" t="n">
        <v>8178.55</v>
      </c>
      <c r="S7" s="26" t="n"/>
    </row>
    <row r="8" ht="15.6" customHeight="1">
      <c r="A8" s="409" t="inlineStr">
        <is>
          <t>Melville</t>
        </is>
      </c>
      <c r="B8" s="200">
        <f>'19 - 25 April 2021'!D8</f>
        <v/>
      </c>
      <c r="C8" s="73" t="n">
        <v>126931.31</v>
      </c>
      <c r="D8" s="145" t="n">
        <v>128042.35</v>
      </c>
      <c r="E8" s="145" t="n">
        <v>24119.83</v>
      </c>
      <c r="F8" s="163">
        <f>IFERROR((SUM(D8-C8)/C8),0)</f>
        <v/>
      </c>
      <c r="G8" s="155">
        <f>IFERROR((SUM(D8-B8)/B8),0)</f>
        <v/>
      </c>
      <c r="H8" s="150" t="n">
        <v>462</v>
      </c>
      <c r="I8" s="63">
        <f>IFERROR(D8/H8,0)</f>
        <v/>
      </c>
      <c r="J8" s="61" t="n">
        <v>34</v>
      </c>
      <c r="K8" s="28">
        <f>IFERROR(J8/H8,0)</f>
        <v/>
      </c>
      <c r="L8" s="46">
        <f>J8+'12 - 18 April 2021'!L8+'19 - 25 April 2021'!J8</f>
        <v/>
      </c>
      <c r="M8" s="172">
        <f>IFERROR(L8/SUM(H8),0)</f>
        <v/>
      </c>
      <c r="N8" s="260" t="n">
        <v>27076.26</v>
      </c>
      <c r="O8" s="89">
        <f>SUM(N8/D8)</f>
        <v/>
      </c>
      <c r="P8" s="260" t="n">
        <v>9703.17</v>
      </c>
      <c r="Q8" s="89">
        <f>SUM(P8/D8)</f>
        <v/>
      </c>
      <c r="R8" s="130" t="n">
        <v>2968.5</v>
      </c>
      <c r="S8" s="26" t="n"/>
    </row>
    <row r="9" ht="15.6" customHeight="1">
      <c r="A9" s="409" t="inlineStr">
        <is>
          <t>Rosebank</t>
        </is>
      </c>
      <c r="B9" s="200">
        <f>'19 - 25 April 2021'!D9</f>
        <v/>
      </c>
      <c r="C9" s="73" t="n">
        <v>342635.31</v>
      </c>
      <c r="D9" s="145" t="n">
        <v>223881.33</v>
      </c>
      <c r="E9" s="145" t="n">
        <v>76945.94</v>
      </c>
      <c r="F9" s="163">
        <f>IFERROR((SUM(D9-C9)/C9),0)</f>
        <v/>
      </c>
      <c r="G9" s="155">
        <f>IFERROR((SUM(D9-B9)/B9),0)</f>
        <v/>
      </c>
      <c r="H9" s="150" t="n">
        <v>819</v>
      </c>
      <c r="I9" s="63">
        <f>IFERROR(D9/H9,0)</f>
        <v/>
      </c>
      <c r="J9" s="61" t="n">
        <v>32</v>
      </c>
      <c r="K9" s="28">
        <f>IFERROR(J9/H9,0)</f>
        <v/>
      </c>
      <c r="L9" s="46">
        <f>J9+'12 - 18 April 2021'!L9+'19 - 25 April 2021'!J9</f>
        <v/>
      </c>
      <c r="M9" s="172">
        <f>IFERROR(L9/SUM(H9),0)</f>
        <v/>
      </c>
      <c r="N9" s="260" t="n">
        <v>21068.1</v>
      </c>
      <c r="O9" s="89">
        <f>SUM(N9/D9)</f>
        <v/>
      </c>
      <c r="P9" s="260" t="n">
        <v>18923.32</v>
      </c>
      <c r="Q9" s="89">
        <f>SUM(P9/D9)</f>
        <v/>
      </c>
      <c r="R9" s="130" t="n">
        <v>8078.8</v>
      </c>
      <c r="S9" s="26" t="n"/>
    </row>
    <row r="10" ht="15.6" customHeight="1">
      <c r="A10" s="411" t="inlineStr">
        <is>
          <t xml:space="preserve">Waterkloof </t>
        </is>
      </c>
      <c r="B10" s="200">
        <f>'19 - 25 April 2021'!D10</f>
        <v/>
      </c>
      <c r="C10" s="73" t="n">
        <v>140870.71</v>
      </c>
      <c r="D10" s="145" t="n">
        <v>128733.27</v>
      </c>
      <c r="E10" s="145" t="n">
        <v>41153.15</v>
      </c>
      <c r="F10" s="163">
        <f>IFERROR((SUM(D10-C10)/C10),0)</f>
        <v/>
      </c>
      <c r="G10" s="155">
        <f>IFERROR((SUM(D10-B10)/B10),0)</f>
        <v/>
      </c>
      <c r="H10" s="150" t="n">
        <v>460</v>
      </c>
      <c r="I10" s="63">
        <f>IFERROR(D10/H10,0)</f>
        <v/>
      </c>
      <c r="J10" s="61" t="n">
        <v>32</v>
      </c>
      <c r="K10" s="28">
        <f>IFERROR(J10/H10,0)</f>
        <v/>
      </c>
      <c r="L10" s="46">
        <f>J10+'12 - 18 April 2021'!L10+'19 - 25 April 2021'!J10</f>
        <v/>
      </c>
      <c r="M10" s="172">
        <f>IFERROR(L10/SUM(H10),0)</f>
        <v/>
      </c>
      <c r="N10" s="260" t="n">
        <v>34461.77</v>
      </c>
      <c r="O10" s="89">
        <f>SUM(N10/D10)</f>
        <v/>
      </c>
      <c r="P10" s="260" t="n">
        <v>19259.88</v>
      </c>
      <c r="Q10" s="89">
        <f>SUM(P10/D10)</f>
        <v/>
      </c>
      <c r="R10" s="130" t="n">
        <v>5277.45</v>
      </c>
      <c r="S10" s="26" t="n"/>
    </row>
    <row r="11" ht="15.6" customHeight="1">
      <c r="A11" s="409" t="inlineStr">
        <is>
          <t>Eagles Landing</t>
        </is>
      </c>
      <c r="B11" s="200">
        <f>'19 - 25 April 2021'!D11</f>
        <v/>
      </c>
      <c r="C11" s="73" t="n">
        <v>390245.8</v>
      </c>
      <c r="D11" s="145" t="n">
        <v>297909.15</v>
      </c>
      <c r="E11" s="145" t="n">
        <v>83114.12</v>
      </c>
      <c r="F11" s="163">
        <f>IFERROR((SUM(D11-C11)/C11),0)</f>
        <v/>
      </c>
      <c r="G11" s="155">
        <f>IFERROR((SUM(D11-B11)/B11),0)</f>
        <v/>
      </c>
      <c r="H11" s="150" t="n">
        <v>975</v>
      </c>
      <c r="I11" s="63">
        <f>IFERROR(D11/H11,0)</f>
        <v/>
      </c>
      <c r="J11" s="61" t="n">
        <v>84</v>
      </c>
      <c r="K11" s="28">
        <f>IFERROR(J11/H11,0)</f>
        <v/>
      </c>
      <c r="L11" s="46">
        <f>J11+'12 - 18 April 2021'!L11+'19 - 25 April 2021'!J11</f>
        <v/>
      </c>
      <c r="M11" s="172">
        <f>IFERROR(L11/SUM(H11),0)</f>
        <v/>
      </c>
      <c r="N11" s="260" t="n">
        <v>39793.54</v>
      </c>
      <c r="O11" s="89">
        <f>SUM(N11/D11)</f>
        <v/>
      </c>
      <c r="P11" s="260" t="n">
        <v>19391.39</v>
      </c>
      <c r="Q11" s="89">
        <f>SUM(P11/D11)</f>
        <v/>
      </c>
      <c r="R11" s="130" t="n">
        <v>11741.64</v>
      </c>
      <c r="S11" s="26" t="n"/>
    </row>
    <row r="12" ht="15.6" customHeight="1">
      <c r="A12" s="198" t="inlineStr">
        <is>
          <t>Stellenbosch</t>
        </is>
      </c>
      <c r="B12" s="200">
        <f>'19 - 25 April 2021'!D12</f>
        <v/>
      </c>
      <c r="C12" s="73" t="n">
        <v>136510.8</v>
      </c>
      <c r="D12" s="145" t="n">
        <v>99879.81</v>
      </c>
      <c r="E12" s="145" t="n">
        <v>23519.24</v>
      </c>
      <c r="F12" s="163">
        <f>IFERROR((SUM(D12-C12)/C12),0)</f>
        <v/>
      </c>
      <c r="G12" s="155">
        <f>IFERROR((SUM(D12-B12)/B12),0)</f>
        <v/>
      </c>
      <c r="H12" s="150" t="n">
        <v>393</v>
      </c>
      <c r="I12" s="63">
        <f>IFERROR(D12/H12,0)</f>
        <v/>
      </c>
      <c r="J12" s="61" t="n">
        <v>30</v>
      </c>
      <c r="K12" s="28">
        <f>IFERROR(J12/H12,0)</f>
        <v/>
      </c>
      <c r="L12" s="46">
        <f>J12+'12 - 18 April 2021'!L12+'19 - 25 April 2021'!J12</f>
        <v/>
      </c>
      <c r="M12" s="172">
        <f>IFERROR(L12/SUM(H12),0)</f>
        <v/>
      </c>
      <c r="N12" s="260" t="n">
        <v>12007.774</v>
      </c>
      <c r="O12" s="89">
        <f>SUM(N12/D12)</f>
        <v/>
      </c>
      <c r="P12" s="260" t="n">
        <v>9963.57</v>
      </c>
      <c r="Q12" s="89">
        <f>SUM(P12/D12)</f>
        <v/>
      </c>
      <c r="R12" s="130" t="n">
        <v>6545</v>
      </c>
      <c r="S12" s="26" t="n"/>
    </row>
    <row r="13" ht="15.6" customHeight="1">
      <c r="A13" s="198" t="inlineStr">
        <is>
          <t>Lynnwood</t>
        </is>
      </c>
      <c r="B13" s="200">
        <f>'19 - 25 April 2021'!D13</f>
        <v/>
      </c>
      <c r="C13" s="73" t="n">
        <v>233608.46</v>
      </c>
      <c r="D13" s="145" t="n">
        <v>192771.76</v>
      </c>
      <c r="E13" s="145" t="n">
        <v>51555.7</v>
      </c>
      <c r="F13" s="163">
        <f>IFERROR((SUM(D13-C13)/C13),0)</f>
        <v/>
      </c>
      <c r="G13" s="155">
        <f>IFERROR((SUM(D13-B13)/B13),0)</f>
        <v/>
      </c>
      <c r="H13" s="150" t="n">
        <v>742</v>
      </c>
      <c r="I13" s="63">
        <f>IFERROR(D13/H13,0)</f>
        <v/>
      </c>
      <c r="J13" s="61" t="n">
        <v>59</v>
      </c>
      <c r="K13" s="28">
        <f>IFERROR(J13/H13,0)</f>
        <v/>
      </c>
      <c r="L13" s="46">
        <f>J13+'12 - 18 April 2021'!L13+'19 - 25 April 2021'!J13</f>
        <v/>
      </c>
      <c r="M13" s="172">
        <f>IFERROR(L13/SUM(H13),0)</f>
        <v/>
      </c>
      <c r="N13" s="260" t="n">
        <v>28517.46</v>
      </c>
      <c r="O13" s="89">
        <f>SUM(N13/D13)</f>
        <v/>
      </c>
      <c r="P13" s="260" t="n">
        <v>25968.61</v>
      </c>
      <c r="Q13" s="89">
        <f>SUM(P13/D13)</f>
        <v/>
      </c>
      <c r="R13" s="130" t="n">
        <v>2435</v>
      </c>
      <c r="S13" s="26" t="n"/>
    </row>
    <row r="14" hidden="1" ht="15.6" customHeight="1">
      <c r="A14" s="198" t="inlineStr">
        <is>
          <t>Wellington</t>
        </is>
      </c>
      <c r="B14" s="200">
        <f>'19 - 25 April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'19 - 25 April 2021'!D15</f>
        <v/>
      </c>
      <c r="C15" s="73" t="n">
        <v>157667.46</v>
      </c>
      <c r="D15" s="145" t="n">
        <v>335289.78</v>
      </c>
      <c r="E15" s="145" t="n">
        <v>76866.03</v>
      </c>
      <c r="F15" s="163">
        <f>IFERROR((SUM(D15-C15)/C15),0)</f>
        <v/>
      </c>
      <c r="G15" s="155">
        <f>IFERROR((SUM(D15-B15)/B15),0)</f>
        <v/>
      </c>
      <c r="H15" s="150" t="n">
        <v>915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18697.7</v>
      </c>
      <c r="Q15" s="89">
        <f>SUM(P15/D15)</f>
        <v/>
      </c>
      <c r="R15" s="130" t="n">
        <v>6733.1</v>
      </c>
      <c r="S15" s="9" t="n"/>
    </row>
    <row r="16" ht="15.6" customHeight="1">
      <c r="A16" s="198" t="inlineStr">
        <is>
          <t>Kyalami Corner</t>
        </is>
      </c>
      <c r="B16" s="200">
        <f>'19 - 25 April 2021'!D16</f>
        <v/>
      </c>
      <c r="C16" s="73" t="n">
        <v>127075.46</v>
      </c>
      <c r="D16" s="145" t="n">
        <v>147345.05</v>
      </c>
      <c r="E16" s="145" t="n">
        <v>46853.52</v>
      </c>
      <c r="F16" s="163">
        <f>IFERROR((SUM(D16-C16)/C16),0)</f>
        <v/>
      </c>
      <c r="G16" s="155">
        <f>IFERROR((SUM(D16-B16)/B16),0)</f>
        <v/>
      </c>
      <c r="H16" s="150" t="n">
        <v>514</v>
      </c>
      <c r="I16" s="63">
        <f>IFERROR(D16/H16,0)</f>
        <v/>
      </c>
      <c r="J16" s="61" t="n">
        <v>42</v>
      </c>
      <c r="K16" s="28">
        <f>IFERROR(J16/H16,0)</f>
        <v/>
      </c>
      <c r="L16" s="46">
        <f>J16+'12 - 18 April 2021'!L16+'19 - 25 April 2021'!J16</f>
        <v/>
      </c>
      <c r="M16" s="172">
        <f>IFERROR(L16/SUM(H16),0)</f>
        <v/>
      </c>
      <c r="N16" s="260" t="n">
        <v>32234.29</v>
      </c>
      <c r="O16" s="89">
        <f>SUM(N16/D16)</f>
        <v/>
      </c>
      <c r="P16" s="260" t="n">
        <v>16673.97</v>
      </c>
      <c r="Q16" s="89">
        <f>SUM(P16/D16)</f>
        <v/>
      </c>
      <c r="R16" s="130" t="n">
        <v>5006.1</v>
      </c>
      <c r="S16" s="9" t="n"/>
      <c r="V16" s="238" t="n"/>
    </row>
    <row r="17" ht="15.6" customHeight="1">
      <c r="A17" s="251" t="inlineStr">
        <is>
          <t>Paulshof</t>
        </is>
      </c>
      <c r="B17" s="200">
        <f>'19 - 25 April 2021'!D17</f>
        <v/>
      </c>
      <c r="C17" s="73" t="n">
        <v>217907.37</v>
      </c>
      <c r="D17" s="145" t="n">
        <v>184045.59</v>
      </c>
      <c r="E17" s="145" t="n">
        <v>47041.61</v>
      </c>
      <c r="F17" s="163">
        <f>IFERROR((SUM(D17-C17)/C17),0)</f>
        <v/>
      </c>
      <c r="G17" s="155">
        <f>IFERROR((SUM(D17-B17)/B17),0)</f>
        <v/>
      </c>
      <c r="H17" s="150" t="n">
        <v>692</v>
      </c>
      <c r="I17" s="63">
        <f>IFERROR(D17/H17,0)</f>
        <v/>
      </c>
      <c r="J17" s="61" t="n">
        <v>63</v>
      </c>
      <c r="K17" s="28">
        <f>IFERROR(J17/H17,0)</f>
        <v/>
      </c>
      <c r="L17" s="46">
        <f>J17+'12 - 18 April 2021'!L17+'19 - 25 April 2021'!J17</f>
        <v/>
      </c>
      <c r="M17" s="172">
        <f>IFERROR(L17/SUM(H17),0)</f>
        <v/>
      </c>
      <c r="N17" s="260" t="n">
        <v>35779.64</v>
      </c>
      <c r="O17" s="89">
        <f>SUM(N17/D17)</f>
        <v/>
      </c>
      <c r="P17" s="260" t="n">
        <v>15995.45</v>
      </c>
      <c r="Q17" s="89">
        <f>SUM(P17/D17)</f>
        <v/>
      </c>
      <c r="R17" s="130" t="n">
        <v>7747.4</v>
      </c>
      <c r="S17" s="9" t="n"/>
    </row>
    <row r="18" ht="15.6" customHeight="1">
      <c r="A18" s="198" t="inlineStr">
        <is>
          <t>Queenswood</t>
        </is>
      </c>
      <c r="B18" s="200">
        <f>'19 - 25 April 2021'!D18</f>
        <v/>
      </c>
      <c r="C18" s="73" t="n">
        <v>195997.67</v>
      </c>
      <c r="D18" s="145" t="n">
        <v>163412.86</v>
      </c>
      <c r="E18" s="145" t="n">
        <v>45538.32</v>
      </c>
      <c r="F18" s="163">
        <f>IFERROR((SUM(D18-C18)/C18),0)</f>
        <v/>
      </c>
      <c r="G18" s="155">
        <f>IFERROR((SUM(D18-B18)/B18),0)</f>
        <v/>
      </c>
      <c r="H18" s="150" t="n">
        <v>604</v>
      </c>
      <c r="I18" s="258">
        <f>IFERROR(D18/H18,0)</f>
        <v/>
      </c>
      <c r="J18" s="61" t="n">
        <v>72</v>
      </c>
      <c r="K18" s="28">
        <f>IFERROR(J18/H18,0)</f>
        <v/>
      </c>
      <c r="L18" s="46">
        <f>J18+'12 - 18 April 2021'!L18+'19 - 25 April 2021'!J18</f>
        <v/>
      </c>
      <c r="M18" s="172">
        <f>IFERROR(L18/SUM(H18),0)</f>
        <v/>
      </c>
      <c r="N18" s="260" t="n">
        <v>27548.55</v>
      </c>
      <c r="O18" s="89">
        <f>SUM(N18/D18)</f>
        <v/>
      </c>
      <c r="P18" s="260" t="n">
        <v>16281.96</v>
      </c>
      <c r="Q18" s="89">
        <f>SUM(P18/D18)</f>
        <v/>
      </c>
      <c r="R18" s="130" t="n">
        <v>4845.5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'26 April - 2 May 2021'!D6</f>
        <v/>
      </c>
      <c r="C6" s="255" t="n">
        <v>277850.47</v>
      </c>
      <c r="D6" s="197" t="n">
        <v>203627.09</v>
      </c>
      <c r="E6" s="129" t="n">
        <v>296289.34</v>
      </c>
      <c r="F6" s="162">
        <f>IFERROR((SUM(D6-C6)/C6),0)</f>
        <v/>
      </c>
      <c r="G6" s="154">
        <f>IFERROR((SUM(D6-B6)/B6),0)</f>
        <v/>
      </c>
      <c r="H6" s="149" t="n">
        <v>628</v>
      </c>
      <c r="I6" s="256">
        <f>IFERROR(D6/H6,0)</f>
        <v/>
      </c>
      <c r="J6" s="125" t="n">
        <v>75</v>
      </c>
      <c r="K6" s="126">
        <f>IFERROR(J6/H6,0)</f>
        <v/>
      </c>
      <c r="L6" s="46">
        <f>J6+'12 - 18 April 2021'!L6+'19 - 25 April 2021'!J6+'26 April - 2 May 2021'!J6</f>
        <v/>
      </c>
      <c r="M6" s="171">
        <f>IFERROR(L6/SUM(H6),0)</f>
        <v/>
      </c>
      <c r="N6" s="259" t="n">
        <v>0</v>
      </c>
      <c r="O6" s="128">
        <f>SUM(N6/D6)</f>
        <v/>
      </c>
      <c r="P6" s="260" t="n">
        <v>0</v>
      </c>
      <c r="Q6" s="128">
        <f>SUM(P6/D6)</f>
        <v/>
      </c>
      <c r="R6" s="129" t="n">
        <v>9368.4</v>
      </c>
      <c r="S6" s="26" t="n"/>
    </row>
    <row r="7" ht="15.6" customHeight="1">
      <c r="A7" s="409" t="inlineStr">
        <is>
          <t>Melrose Arch</t>
        </is>
      </c>
      <c r="B7" s="200">
        <f>'26 April - 2 May 2021'!D7</f>
        <v/>
      </c>
      <c r="C7" s="73" t="n">
        <v>255721.48</v>
      </c>
      <c r="D7" s="145" t="n">
        <v>197591.81</v>
      </c>
      <c r="E7" s="145" t="n">
        <v>252702.09</v>
      </c>
      <c r="F7" s="163">
        <f>IFERROR((SUM(D7-C7)/C7),0)</f>
        <v/>
      </c>
      <c r="G7" s="155">
        <f>IFERROR((SUM(D7-B7)/B7),0)</f>
        <v/>
      </c>
      <c r="H7" s="150" t="n">
        <v>650</v>
      </c>
      <c r="I7" s="63">
        <f>IFERROR(D7/H7,0)</f>
        <v/>
      </c>
      <c r="J7" s="61" t="n">
        <v>84</v>
      </c>
      <c r="K7" s="28">
        <f>IFERROR(J7/H7,0)</f>
        <v/>
      </c>
      <c r="L7" s="46">
        <f>J7+'12 - 18 April 2021'!L7+'19 - 25 April 2021'!J7+'26 April - 2 May 2021'!J7</f>
        <v/>
      </c>
      <c r="M7" s="172">
        <f>IFERROR(L7/SUM(H7),0)</f>
        <v/>
      </c>
      <c r="N7" s="260" t="n">
        <v>0</v>
      </c>
      <c r="O7" s="89">
        <f>SUM(N7/D7)</f>
        <v/>
      </c>
      <c r="P7" s="260" t="n">
        <v>0</v>
      </c>
      <c r="Q7" s="89">
        <f>SUM(P7/D7)</f>
        <v/>
      </c>
      <c r="R7" s="130" t="n">
        <v>10561.8</v>
      </c>
      <c r="S7" s="26" t="n"/>
    </row>
    <row r="8" ht="15.6" customHeight="1">
      <c r="A8" s="409" t="inlineStr">
        <is>
          <t>Melville</t>
        </is>
      </c>
      <c r="B8" s="200">
        <f>'26 April - 2 May 2021'!D8</f>
        <v/>
      </c>
      <c r="C8" s="73" t="n">
        <v>149467.36</v>
      </c>
      <c r="D8" s="145" t="n">
        <v>101409.11</v>
      </c>
      <c r="E8" s="145" t="n">
        <v>125528.94</v>
      </c>
      <c r="F8" s="163">
        <f>IFERROR((SUM(D8-C8)/C8),0)</f>
        <v/>
      </c>
      <c r="G8" s="155">
        <f>IFERROR((SUM(D8-B8)/B8),0)</f>
        <v/>
      </c>
      <c r="H8" s="150" t="n">
        <v>411</v>
      </c>
      <c r="I8" s="63">
        <f>IFERROR(D8/H8,0)</f>
        <v/>
      </c>
      <c r="J8" s="61" t="n">
        <v>31</v>
      </c>
      <c r="K8" s="28">
        <f>IFERROR(J8/H8,0)</f>
        <v/>
      </c>
      <c r="L8" s="46">
        <f>J8+'12 - 18 April 2021'!L8+'19 - 25 April 2021'!J8+'26 April - 2 May 2021'!J8</f>
        <v/>
      </c>
      <c r="M8" s="172">
        <f>IFERROR(L8/SUM(H8),0)</f>
        <v/>
      </c>
      <c r="N8" s="260" t="n">
        <v>0</v>
      </c>
      <c r="O8" s="89">
        <f>SUM(N8/D8)</f>
        <v/>
      </c>
      <c r="P8" s="260" t="n">
        <v>0</v>
      </c>
      <c r="Q8" s="89">
        <f>SUM(P8/D8)</f>
        <v/>
      </c>
      <c r="R8" s="130" t="n">
        <v>3413</v>
      </c>
      <c r="S8" s="26" t="n"/>
    </row>
    <row r="9" ht="15.6" customHeight="1">
      <c r="A9" s="409" t="inlineStr">
        <is>
          <t>Rosebank</t>
        </is>
      </c>
      <c r="B9" s="200">
        <f>'26 April - 2 May 2021'!D9</f>
        <v/>
      </c>
      <c r="C9" s="73" t="n">
        <v>314671.8</v>
      </c>
      <c r="D9" s="145" t="n">
        <v>177312.6</v>
      </c>
      <c r="E9" s="145" t="n">
        <v>254258.54</v>
      </c>
      <c r="F9" s="163">
        <f>IFERROR((SUM(D9-C9)/C9),0)</f>
        <v/>
      </c>
      <c r="G9" s="155">
        <f>IFERROR((SUM(D9-B9)/B9),0)</f>
        <v/>
      </c>
      <c r="H9" s="150" t="n">
        <v>674</v>
      </c>
      <c r="I9" s="63">
        <f>IFERROR(D9/H9,0)</f>
        <v/>
      </c>
      <c r="J9" s="61" t="n">
        <v>59</v>
      </c>
      <c r="K9" s="28">
        <f>IFERROR(J9/H9,0)</f>
        <v/>
      </c>
      <c r="L9" s="46">
        <f>J9+'12 - 18 April 2021'!L9+'19 - 25 April 2021'!J9+'26 April - 2 May 2021'!J9</f>
        <v/>
      </c>
      <c r="M9" s="172">
        <f>IFERROR(L9/SUM(H9),0)</f>
        <v/>
      </c>
      <c r="N9" s="260" t="n">
        <v>0</v>
      </c>
      <c r="O9" s="89">
        <f>SUM(N9/D9)</f>
        <v/>
      </c>
      <c r="P9" s="260" t="n">
        <v>0</v>
      </c>
      <c r="Q9" s="89">
        <f>SUM(P9/D9)</f>
        <v/>
      </c>
      <c r="R9" s="130" t="n">
        <v>8319</v>
      </c>
      <c r="S9" s="26" t="n"/>
    </row>
    <row r="10" ht="15.6" customHeight="1">
      <c r="A10" s="411" t="inlineStr">
        <is>
          <t xml:space="preserve">Waterkloof </t>
        </is>
      </c>
      <c r="B10" s="200">
        <f>'26 April - 2 May 2021'!D10</f>
        <v/>
      </c>
      <c r="C10" s="73" t="n">
        <v>146819.43</v>
      </c>
      <c r="D10" s="145" t="n">
        <v>148751.57</v>
      </c>
      <c r="E10" s="145" t="n">
        <v>189904.72</v>
      </c>
      <c r="F10" s="163">
        <f>IFERROR((SUM(D10-C10)/C10),0)</f>
        <v/>
      </c>
      <c r="G10" s="155">
        <f>IFERROR((SUM(D10-B10)/B10),0)</f>
        <v/>
      </c>
      <c r="H10" s="150" t="n">
        <v>495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7078</v>
      </c>
      <c r="S10" s="26" t="n"/>
    </row>
    <row r="11" ht="15.6" customHeight="1">
      <c r="A11" s="409" t="inlineStr">
        <is>
          <t>Eagles Landing</t>
        </is>
      </c>
      <c r="B11" s="200">
        <f>'26 April - 2 May 2021'!D11</f>
        <v/>
      </c>
      <c r="C11" s="73" t="n">
        <v>382519.05</v>
      </c>
      <c r="D11" s="145" t="n">
        <v>285169.07</v>
      </c>
      <c r="E11" s="145" t="n">
        <v>368283.19</v>
      </c>
      <c r="F11" s="163">
        <f>IFERROR((SUM(D11-C11)/C11),0)</f>
        <v/>
      </c>
      <c r="G11" s="155">
        <f>IFERROR((SUM(D11-B11)/B11),0)</f>
        <v/>
      </c>
      <c r="H11" s="150" t="n">
        <v>928</v>
      </c>
      <c r="I11" s="63">
        <f>IFERROR(D11/H11,0)</f>
        <v/>
      </c>
      <c r="J11" s="61" t="n">
        <v>103</v>
      </c>
      <c r="K11" s="28">
        <f>IFERROR(J11/H11,0)</f>
        <v/>
      </c>
      <c r="L11" s="46">
        <f>J11+'12 - 18 April 2021'!L11+'19 - 25 April 2021'!J11+'26 April - 2 May 2021'!J11</f>
        <v/>
      </c>
      <c r="M11" s="172">
        <f>IFERROR(L11/SUM(H11),0)</f>
        <v/>
      </c>
      <c r="N11" s="260" t="n">
        <v>0</v>
      </c>
      <c r="O11" s="89">
        <f>SUM(N11/D11)</f>
        <v/>
      </c>
      <c r="P11" s="260" t="n">
        <v>0</v>
      </c>
      <c r="Q11" s="89">
        <f>SUM(P11/D11)</f>
        <v/>
      </c>
      <c r="R11" s="130" t="n">
        <v>12990.6</v>
      </c>
      <c r="S11" s="26" t="n"/>
    </row>
    <row r="12" ht="15.6" customHeight="1">
      <c r="A12" s="198" t="inlineStr">
        <is>
          <t>Stellenbosch</t>
        </is>
      </c>
      <c r="B12" s="200">
        <f>'26 April - 2 May 2021'!D12</f>
        <v/>
      </c>
      <c r="C12" s="73" t="n">
        <v>144817.99</v>
      </c>
      <c r="D12" s="145" t="n">
        <v>98245.55</v>
      </c>
      <c r="E12" s="145" t="n">
        <v>121764.79</v>
      </c>
      <c r="F12" s="163">
        <f>IFERROR((SUM(D12-C12)/C12),0)</f>
        <v/>
      </c>
      <c r="G12" s="155">
        <f>IFERROR((SUM(D12-B12)/B12),0)</f>
        <v/>
      </c>
      <c r="H12" s="150" t="n">
        <v>355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</f>
        <v/>
      </c>
      <c r="M12" s="172">
        <f>IFERROR(L12/SUM(H12),0)</f>
        <v/>
      </c>
      <c r="N12" s="260" t="n">
        <v>0</v>
      </c>
      <c r="O12" s="89">
        <f>SUM(N12/D12)</f>
        <v/>
      </c>
      <c r="P12" s="260" t="n">
        <v>0</v>
      </c>
      <c r="Q12" s="89">
        <f>SUM(P12/D12)</f>
        <v/>
      </c>
      <c r="R12" s="130" t="n">
        <v>6830.75</v>
      </c>
      <c r="S12" s="26" t="n"/>
    </row>
    <row r="13" ht="15.6" customHeight="1">
      <c r="A13" s="198" t="inlineStr">
        <is>
          <t>Lynnwood</t>
        </is>
      </c>
      <c r="B13" s="200">
        <f>'26 April - 2 May 2021'!D13</f>
        <v/>
      </c>
      <c r="C13" s="73" t="n">
        <v>233865.68</v>
      </c>
      <c r="D13" s="145" t="n">
        <v>184334.64</v>
      </c>
      <c r="E13" s="145" t="n">
        <v>235890.34</v>
      </c>
      <c r="F13" s="163">
        <f>IFERROR((SUM(D13-C13)/C13),0)</f>
        <v/>
      </c>
      <c r="G13" s="155">
        <f>IFERROR((SUM(D13-B13)/B13),0)</f>
        <v/>
      </c>
      <c r="H13" s="150" t="n">
        <v>673</v>
      </c>
      <c r="I13" s="63">
        <f>IFERROR(D13/H13,0)</f>
        <v/>
      </c>
      <c r="J13" s="61" t="n">
        <v>57</v>
      </c>
      <c r="K13" s="28">
        <f>IFERROR(J13/H13,0)</f>
        <v/>
      </c>
      <c r="L13" s="46">
        <f>J13+'12 - 18 April 2021'!L13+'19 - 25 April 2021'!J13+'26 April - 2 May 2021'!J13</f>
        <v/>
      </c>
      <c r="M13" s="172">
        <f>IFERROR(L13/SUM(H13),0)</f>
        <v/>
      </c>
      <c r="N13" s="260" t="n">
        <v>0</v>
      </c>
      <c r="O13" s="89">
        <f>SUM(N13/D13)</f>
        <v/>
      </c>
      <c r="P13" s="260" t="n">
        <v>0</v>
      </c>
      <c r="Q13" s="89">
        <f>SUM(P13/D13)</f>
        <v/>
      </c>
      <c r="R13" s="130" t="n">
        <v>2876</v>
      </c>
      <c r="S13" s="26" t="n"/>
    </row>
    <row r="14" hidden="1" ht="15.6" customHeight="1">
      <c r="A14" s="198" t="inlineStr">
        <is>
          <t>Wellington</t>
        </is>
      </c>
      <c r="B14" s="200">
        <f>'26 April - 2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'26 April - 2 May 2021'!D15</f>
        <v/>
      </c>
      <c r="C15" s="73" t="n">
        <v>163941.61</v>
      </c>
      <c r="D15" s="145" t="n">
        <v>166850.45</v>
      </c>
      <c r="E15" s="145" t="n">
        <v>243716.48</v>
      </c>
      <c r="F15" s="163">
        <f>IFERROR((SUM(D15-C15)/C15),0)</f>
        <v/>
      </c>
      <c r="G15" s="155">
        <f>IFERROR((SUM(D15-B15)/B15),0)</f>
        <v/>
      </c>
      <c r="H15" s="150" t="n">
        <v>560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0</v>
      </c>
      <c r="Q15" s="89">
        <f>SUM(P15/D15)</f>
        <v/>
      </c>
      <c r="R15" s="130" t="n">
        <v>4463.36</v>
      </c>
      <c r="S15" s="9" t="n"/>
    </row>
    <row r="16" ht="15.6" customHeight="1">
      <c r="A16" s="198" t="inlineStr">
        <is>
          <t>Kyalami Corner</t>
        </is>
      </c>
      <c r="B16" s="200">
        <f>'26 April - 2 May 2021'!D16</f>
        <v/>
      </c>
      <c r="C16" s="73" t="n">
        <v>156915.53</v>
      </c>
      <c r="D16" s="145" t="n">
        <v>119683.93</v>
      </c>
      <c r="E16" s="145" t="n">
        <v>166537.45</v>
      </c>
      <c r="F16" s="163">
        <f>IFERROR((SUM(D16-C16)/C16),0)</f>
        <v/>
      </c>
      <c r="G16" s="155">
        <f>IFERROR((SUM(D16-B16)/B16),0)</f>
        <v/>
      </c>
      <c r="H16" s="150" t="n">
        <v>477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</f>
        <v/>
      </c>
      <c r="M16" s="172">
        <f>IFERROR(L16/SUM(H16),0)</f>
        <v/>
      </c>
      <c r="N16" s="260" t="n">
        <v>0</v>
      </c>
      <c r="O16" s="89">
        <f>SUM(N16/D16)</f>
        <v/>
      </c>
      <c r="P16" s="260" t="n">
        <v>0</v>
      </c>
      <c r="Q16" s="89">
        <f>SUM(P16/D16)</f>
        <v/>
      </c>
      <c r="R16" s="130" t="n">
        <v>5969</v>
      </c>
      <c r="S16" s="9" t="n"/>
      <c r="V16" s="238" t="n"/>
    </row>
    <row r="17" ht="15.6" customHeight="1">
      <c r="A17" s="251" t="inlineStr">
        <is>
          <t>Paulshof</t>
        </is>
      </c>
      <c r="B17" s="200">
        <f>'26 April - 2 May 2021'!D17</f>
        <v/>
      </c>
      <c r="C17" s="73" t="n">
        <v>204319.37</v>
      </c>
      <c r="D17" s="145" t="n">
        <v>169209.44</v>
      </c>
      <c r="E17" s="145" t="n">
        <v>216251.05</v>
      </c>
      <c r="F17" s="163">
        <f>IFERROR((SUM(D17-C17)/C17),0)</f>
        <v/>
      </c>
      <c r="G17" s="155">
        <f>IFERROR((SUM(D17-B17)/B17),0)</f>
        <v/>
      </c>
      <c r="H17" s="150" t="n">
        <v>641</v>
      </c>
      <c r="I17" s="63">
        <f>IFERROR(D17/H17,0)</f>
        <v/>
      </c>
      <c r="J17" s="61" t="n">
        <v>68</v>
      </c>
      <c r="K17" s="28">
        <f>IFERROR(J17/H17,0)</f>
        <v/>
      </c>
      <c r="L17" s="46">
        <f>J17+'12 - 18 April 2021'!L17+'19 - 25 April 2021'!J17+'26 April - 2 May 2021'!J17</f>
        <v/>
      </c>
      <c r="M17" s="172">
        <f>IFERROR(L17/SUM(H17),0)</f>
        <v/>
      </c>
      <c r="N17" s="260" t="n">
        <v>0</v>
      </c>
      <c r="O17" s="89">
        <f>SUM(N17/D17)</f>
        <v/>
      </c>
      <c r="P17" s="260" t="n">
        <v>0</v>
      </c>
      <c r="Q17" s="89">
        <f>SUM(P17/D17)</f>
        <v/>
      </c>
      <c r="R17" s="130" t="n">
        <v>5909</v>
      </c>
      <c r="S17" s="9" t="n"/>
    </row>
    <row r="18" ht="15.6" customHeight="1">
      <c r="A18" s="198" t="inlineStr">
        <is>
          <t>Queenswood</t>
        </is>
      </c>
      <c r="B18" s="200">
        <f>'26 April - 2 May 2021'!D18</f>
        <v/>
      </c>
      <c r="C18" s="73" t="n">
        <v>197506.48</v>
      </c>
      <c r="D18" s="145" t="n">
        <v>174159.43</v>
      </c>
      <c r="E18" s="145" t="n">
        <v>219697.75</v>
      </c>
      <c r="F18" s="163">
        <f>IFERROR((SUM(D18-C18)/C18),0)</f>
        <v/>
      </c>
      <c r="G18" s="155">
        <f>IFERROR((SUM(D18-B18)/B18),0)</f>
        <v/>
      </c>
      <c r="H18" s="150" t="n">
        <v>601</v>
      </c>
      <c r="I18" s="258">
        <f>IFERROR(D18/H18,0)</f>
        <v/>
      </c>
      <c r="J18" s="61" t="n">
        <v>96</v>
      </c>
      <c r="K18" s="28">
        <f>IFERROR(J18/H18,0)</f>
        <v/>
      </c>
      <c r="L18" s="46">
        <f>J18+'12 - 18 April 2021'!L18+'19 - 25 April 2021'!J18+'26 April - 2 May 2021'!J18</f>
        <v/>
      </c>
      <c r="M18" s="172">
        <f>IFERROR(L18/SUM(H18),0)</f>
        <v/>
      </c>
      <c r="N18" s="260" t="n">
        <v>0</v>
      </c>
      <c r="O18" s="89">
        <f>SUM(N18/D18)</f>
        <v/>
      </c>
      <c r="P18" s="260" t="n">
        <v>0</v>
      </c>
      <c r="Q18" s="89">
        <f>SUM(P18/D18)</f>
        <v/>
      </c>
      <c r="R18" s="130" t="n">
        <v>5487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>
        <f>SUM(H6:H19)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'3 - 9 May 2021'!D6</f>
        <v/>
      </c>
      <c r="C6" s="255" t="n">
        <v>217085.03</v>
      </c>
      <c r="D6" s="197" t="n">
        <v>194847.13</v>
      </c>
      <c r="E6" s="129" t="n">
        <v>491136.47</v>
      </c>
      <c r="F6" s="162">
        <f>IFERROR((SUM(D6-C6)/C6),0)</f>
        <v/>
      </c>
      <c r="G6" s="154">
        <f>IFERROR((SUM(D6-B6)/B6),0)</f>
        <v/>
      </c>
      <c r="H6" s="149" t="n">
        <v>632</v>
      </c>
      <c r="I6" s="256">
        <f>IFERROR(D6/H6,0)</f>
        <v/>
      </c>
      <c r="J6" s="125" t="n">
        <v>51</v>
      </c>
      <c r="K6" s="126">
        <f>IFERROR(J6/H6,0)</f>
        <v/>
      </c>
      <c r="L6" s="46">
        <f>J6+'12 - 18 April 2021'!L6+'19 - 25 April 2021'!J6+'26 April - 2 May 2021'!J6+'3 - 9 May 2021'!J6</f>
        <v/>
      </c>
      <c r="M6" s="171">
        <f>IFERROR(L6/SUM(H6),0)</f>
        <v/>
      </c>
      <c r="N6" s="259" t="n">
        <v>40471.55</v>
      </c>
      <c r="O6" s="128">
        <f>SUM(N6/D6)</f>
        <v/>
      </c>
      <c r="P6" s="260" t="n">
        <v>740</v>
      </c>
      <c r="Q6" s="128">
        <f>SUM(P6/D6)</f>
        <v/>
      </c>
      <c r="R6" s="129" t="n">
        <v>6899.9</v>
      </c>
      <c r="S6" s="26" t="n"/>
    </row>
    <row r="7" ht="15.6" customHeight="1">
      <c r="A7" s="409" t="inlineStr">
        <is>
          <t>Melrose Arch</t>
        </is>
      </c>
      <c r="B7" s="200">
        <f>'3 - 9 May 2021'!D7</f>
        <v/>
      </c>
      <c r="C7" s="73" t="n">
        <v>208131.03</v>
      </c>
      <c r="D7" s="145" t="n">
        <v>204578.06</v>
      </c>
      <c r="E7" s="145" t="n">
        <v>457280.15</v>
      </c>
      <c r="F7" s="163">
        <f>IFERROR((SUM(D7-C7)/C7),0)</f>
        <v/>
      </c>
      <c r="G7" s="155">
        <f>IFERROR((SUM(D7-B7)/B7),0)</f>
        <v/>
      </c>
      <c r="H7" s="150" t="n">
        <v>690</v>
      </c>
      <c r="I7" s="63">
        <f>IFERROR(D7/H7,0)</f>
        <v/>
      </c>
      <c r="J7" s="61" t="n">
        <v>104</v>
      </c>
      <c r="K7" s="28">
        <f>IFERROR(J7/H7,0)</f>
        <v/>
      </c>
      <c r="L7" s="46">
        <f>J7+'12 - 18 April 2021'!L7+'19 - 25 April 2021'!J7+'26 April - 2 May 2021'!J7+'3 - 9 May 2021'!J7</f>
        <v/>
      </c>
      <c r="M7" s="172">
        <f>IFERROR(L7/SUM(H7),0)</f>
        <v/>
      </c>
      <c r="N7" s="260" t="n">
        <v>22471.8</v>
      </c>
      <c r="O7" s="89">
        <f>SUM(N7/D7)</f>
        <v/>
      </c>
      <c r="P7" s="260" t="n">
        <v>15195.22</v>
      </c>
      <c r="Q7" s="89">
        <f>SUM(P7/D7)</f>
        <v/>
      </c>
      <c r="R7" s="130" t="n">
        <v>7947.1</v>
      </c>
      <c r="S7" s="26" t="n"/>
    </row>
    <row r="8" ht="15.6" customHeight="1">
      <c r="A8" s="409" t="inlineStr">
        <is>
          <t>Melville</t>
        </is>
      </c>
      <c r="B8" s="200">
        <f>'3 - 9 May 2021'!D8</f>
        <v/>
      </c>
      <c r="C8" s="73" t="n">
        <v>98960.8</v>
      </c>
      <c r="D8" s="145" t="n">
        <v>100528.11</v>
      </c>
      <c r="E8" s="145" t="n">
        <v>226057.05</v>
      </c>
      <c r="F8" s="163">
        <f>IFERROR((SUM(D8-C8)/C8),0)</f>
        <v/>
      </c>
      <c r="G8" s="155">
        <f>IFERROR((SUM(D8-B8)/B8),0)</f>
        <v/>
      </c>
      <c r="H8" s="150" t="n">
        <v>404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</f>
        <v/>
      </c>
      <c r="M8" s="172">
        <f>IFERROR(L8/SUM(H8),0)</f>
        <v/>
      </c>
      <c r="N8" s="260" t="n">
        <v>40988.95</v>
      </c>
      <c r="O8" s="89">
        <f>SUM(N8/D8)</f>
        <v/>
      </c>
      <c r="P8" s="260" t="n">
        <v>11313.35</v>
      </c>
      <c r="Q8" s="89">
        <f>SUM(P8/D8)</f>
        <v/>
      </c>
      <c r="R8" s="130" t="n">
        <v>3851.15</v>
      </c>
      <c r="S8" s="26" t="n"/>
    </row>
    <row r="9" ht="15.6" customHeight="1">
      <c r="A9" s="409" t="inlineStr">
        <is>
          <t>Rosebank</t>
        </is>
      </c>
      <c r="B9" s="200">
        <f>'3 - 9 May 2021'!D9</f>
        <v/>
      </c>
      <c r="C9" s="73" t="n">
        <v>271779.22</v>
      </c>
      <c r="D9" s="145" t="n">
        <v>185947.3</v>
      </c>
      <c r="E9" s="145" t="n">
        <v>440205.84</v>
      </c>
      <c r="F9" s="163">
        <f>IFERROR((SUM(D9-C9)/C9),0)</f>
        <v/>
      </c>
      <c r="G9" s="155">
        <f>IFERROR((SUM(D9-B9)/B9),0)</f>
        <v/>
      </c>
      <c r="H9" s="150" t="n">
        <v>709</v>
      </c>
      <c r="I9" s="63">
        <f>IFERROR(D9/H9,0)</f>
        <v/>
      </c>
      <c r="J9" s="61" t="n">
        <v>63</v>
      </c>
      <c r="K9" s="28">
        <f>IFERROR(J9/H9,0)</f>
        <v/>
      </c>
      <c r="L9" s="46">
        <f>J9+'12 - 18 April 2021'!L9+'19 - 25 April 2021'!J9+'26 April - 2 May 2021'!J9+'3 - 9 May 2021'!J9</f>
        <v/>
      </c>
      <c r="M9" s="172">
        <f>IFERROR(L9/SUM(H9),0)</f>
        <v/>
      </c>
      <c r="N9" s="260" t="n">
        <v>16229.47</v>
      </c>
      <c r="O9" s="89">
        <f>SUM(N9/D9)</f>
        <v/>
      </c>
      <c r="P9" s="260" t="n">
        <v>14772.23</v>
      </c>
      <c r="Q9" s="89">
        <f>SUM(P9/D9)</f>
        <v/>
      </c>
      <c r="R9" s="130" t="n">
        <v>8356</v>
      </c>
      <c r="S9" s="26" t="n"/>
    </row>
    <row r="10" ht="15.6" customHeight="1">
      <c r="A10" s="411" t="inlineStr">
        <is>
          <t xml:space="preserve">Waterkloof </t>
        </is>
      </c>
      <c r="B10" s="200">
        <f>'3 - 9 May 2021'!D10</f>
        <v/>
      </c>
      <c r="C10" s="73" t="n">
        <v>130423.4</v>
      </c>
      <c r="D10" s="145" t="n">
        <v>120234.69</v>
      </c>
      <c r="E10" s="145" t="n">
        <v>310139.41</v>
      </c>
      <c r="F10" s="163">
        <f>IFERROR((SUM(D10-C10)/C10),0)</f>
        <v/>
      </c>
      <c r="G10" s="155">
        <f>IFERROR((SUM(D10-B10)/B10),0)</f>
        <v/>
      </c>
      <c r="H10" s="150" t="n">
        <v>438</v>
      </c>
      <c r="I10" s="63">
        <f>IFERROR(D10/H10,0)</f>
        <v/>
      </c>
      <c r="J10" s="61" t="n">
        <v>31</v>
      </c>
      <c r="K10" s="28">
        <f>IFERROR(J10/H10,0)</f>
        <v/>
      </c>
      <c r="L10" s="46">
        <f>J10+'12 - 18 April 2021'!L10+'19 - 25 April 2021'!J10+'26 April - 2 May 2021'!J10+'3 - 9 May 2021'!J10</f>
        <v/>
      </c>
      <c r="M10" s="172">
        <f>IFERROR(L10/SUM(H10),0)</f>
        <v/>
      </c>
      <c r="N10" s="260" t="n">
        <v>33639.27</v>
      </c>
      <c r="O10" s="89">
        <f>SUM(N10/D10)</f>
        <v/>
      </c>
      <c r="P10" s="260" t="n">
        <v>18242.13</v>
      </c>
      <c r="Q10" s="89">
        <f>SUM(P10/D10)</f>
        <v/>
      </c>
      <c r="R10" s="130" t="n">
        <v>6251.95</v>
      </c>
      <c r="S10" s="26" t="n"/>
    </row>
    <row r="11" ht="15.6" customHeight="1">
      <c r="A11" s="409" t="inlineStr">
        <is>
          <t>Eagles Landing</t>
        </is>
      </c>
      <c r="B11" s="200">
        <f>'3 - 9 May 2021'!D11</f>
        <v/>
      </c>
      <c r="C11" s="73" t="n">
        <v>321781.94</v>
      </c>
      <c r="D11" s="145" t="n">
        <v>250633.44</v>
      </c>
      <c r="E11" s="145" t="n">
        <v>618916.63</v>
      </c>
      <c r="F11" s="163">
        <f>IFERROR((SUM(D11-C11)/C11),0)</f>
        <v/>
      </c>
      <c r="G11" s="155">
        <f>IFERROR((SUM(D11-B11)/B11),0)</f>
        <v/>
      </c>
      <c r="H11" s="150" t="n">
        <v>909</v>
      </c>
      <c r="I11" s="63">
        <f>IFERROR(D11/H11,0)</f>
        <v/>
      </c>
      <c r="J11" s="61" t="n">
        <v>120</v>
      </c>
      <c r="K11" s="28">
        <f>IFERROR(J11/H11,0)</f>
        <v/>
      </c>
      <c r="L11" s="46">
        <f>J11+'12 - 18 April 2021'!L11+'19 - 25 April 2021'!J11+'26 April - 2 May 2021'!J11+'3 - 9 May 2021'!J11</f>
        <v/>
      </c>
      <c r="M11" s="172">
        <f>IFERROR(L11/SUM(H11),0)</f>
        <v/>
      </c>
      <c r="N11" s="260" t="n">
        <v>43738.36</v>
      </c>
      <c r="O11" s="89">
        <f>SUM(N11/D11)</f>
        <v/>
      </c>
      <c r="P11" s="260" t="n">
        <v>18493.74</v>
      </c>
      <c r="Q11" s="89">
        <f>SUM(P11/D11)</f>
        <v/>
      </c>
      <c r="R11" s="130" t="n">
        <v>12978</v>
      </c>
      <c r="S11" s="26" t="n"/>
    </row>
    <row r="12" ht="15.6" customHeight="1">
      <c r="A12" s="198" t="inlineStr">
        <is>
          <t>Stellenbosch</t>
        </is>
      </c>
      <c r="B12" s="200">
        <f>'3 - 9 May 2021'!D12</f>
        <v/>
      </c>
      <c r="C12" s="73" t="n">
        <v>126268.32</v>
      </c>
      <c r="D12" s="145" t="n">
        <v>98898.64999999999</v>
      </c>
      <c r="E12" s="145" t="n">
        <v>220663.44</v>
      </c>
      <c r="F12" s="163">
        <f>IFERROR((SUM(D12-C12)/C12),0)</f>
        <v/>
      </c>
      <c r="G12" s="155">
        <f>IFERROR((SUM(D12-B12)/B12),0)</f>
        <v/>
      </c>
      <c r="H12" s="150" t="n">
        <v>385</v>
      </c>
      <c r="I12" s="63">
        <f>IFERROR(D12/H12,0)</f>
        <v/>
      </c>
      <c r="J12" s="61" t="n">
        <v>43</v>
      </c>
      <c r="K12" s="28">
        <f>IFERROR(J12/H12,0)</f>
        <v/>
      </c>
      <c r="L12" s="46">
        <f>J12+'12 - 18 April 2021'!L12+'19 - 25 April 2021'!J12+'26 April - 2 May 2021'!J12+'3 - 9 May 2021'!J12</f>
        <v/>
      </c>
      <c r="M12" s="172">
        <f>IFERROR(L12/SUM(H12),0)</f>
        <v/>
      </c>
      <c r="N12" s="260" t="n">
        <v>15683.57</v>
      </c>
      <c r="O12" s="89">
        <f>SUM(N12/D12)</f>
        <v/>
      </c>
      <c r="P12" s="260" t="n">
        <v>11637.77</v>
      </c>
      <c r="Q12" s="89">
        <f>SUM(P12/D12)</f>
        <v/>
      </c>
      <c r="R12" s="130" t="n">
        <v>8920.5</v>
      </c>
      <c r="S12" s="26" t="n"/>
    </row>
    <row r="13" ht="15.6" customHeight="1">
      <c r="A13" s="198" t="inlineStr">
        <is>
          <t>Lynnwood</t>
        </is>
      </c>
      <c r="B13" s="200">
        <f>'3 - 9 May 2021'!D13</f>
        <v/>
      </c>
      <c r="C13" s="73" t="n">
        <v>195027.05</v>
      </c>
      <c r="D13" s="145" t="n">
        <v>169528.01</v>
      </c>
      <c r="E13" s="145" t="n">
        <v>405418.35</v>
      </c>
      <c r="F13" s="163">
        <f>IFERROR((SUM(D13-C13)/C13),0)</f>
        <v/>
      </c>
      <c r="G13" s="155">
        <f>IFERROR((SUM(D13-B13)/B13),0)</f>
        <v/>
      </c>
      <c r="H13" s="150" t="n">
        <v>647</v>
      </c>
      <c r="I13" s="63">
        <f>IFERROR(D13/H13,0)</f>
        <v/>
      </c>
      <c r="J13" s="61" t="n">
        <v>65</v>
      </c>
      <c r="K13" s="28">
        <f>IFERROR(J13/H13,0)</f>
        <v/>
      </c>
      <c r="L13" s="46">
        <f>J13+'12 - 18 April 2021'!L13+'19 - 25 April 2021'!J13+'26 April - 2 May 2021'!J13+'3 - 9 May 2021'!J13</f>
        <v/>
      </c>
      <c r="M13" s="172">
        <f>IFERROR(L13/SUM(H13),0)</f>
        <v/>
      </c>
      <c r="N13" s="260" t="n">
        <v>27077.85</v>
      </c>
      <c r="O13" s="89">
        <f>SUM(N13/D13)</f>
        <v/>
      </c>
      <c r="P13" s="260" t="n">
        <v>20886.39</v>
      </c>
      <c r="Q13" s="89">
        <f>SUM(P13/D13)</f>
        <v/>
      </c>
      <c r="R13" s="130" t="n">
        <v>3540</v>
      </c>
      <c r="S13" s="26" t="n"/>
    </row>
    <row r="14" hidden="1" ht="15.6" customHeight="1">
      <c r="A14" s="198" t="inlineStr">
        <is>
          <t>Wellington</t>
        </is>
      </c>
      <c r="B14" s="200">
        <f>'3 - 9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'3 - 9 May 2021'!D15</f>
        <v/>
      </c>
      <c r="C15" s="73" t="n">
        <v>127940.31</v>
      </c>
      <c r="D15" s="145" t="n">
        <v>135471.54</v>
      </c>
      <c r="E15" s="145" t="n">
        <v>379188.02</v>
      </c>
      <c r="F15" s="163">
        <f>IFERROR((SUM(D15-C15)/C15),0)</f>
        <v/>
      </c>
      <c r="G15" s="155">
        <f>IFERROR((SUM(D15-B15)/B15),0)</f>
        <v/>
      </c>
      <c r="H15" s="150" t="n">
        <v>482</v>
      </c>
      <c r="I15" s="63">
        <f>IFERROR(D15/H15,0)</f>
        <v/>
      </c>
      <c r="J15" s="61" t="n">
        <v>51</v>
      </c>
      <c r="K15" s="28">
        <f>IFERROR(J15/H15,0)</f>
        <v/>
      </c>
      <c r="L15" s="46">
        <f>J15+'12 - 18 April 2021'!L15+'19 - 25 April 2021'!J15+'26 April - 2 May 2021'!J15+'3 - 9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13957.74</v>
      </c>
      <c r="Q15" s="89">
        <f>SUM(P15/D15)</f>
        <v/>
      </c>
      <c r="R15" s="130" t="n">
        <v>4151.1</v>
      </c>
      <c r="S15" s="9" t="n"/>
    </row>
    <row r="16" ht="15.6" customHeight="1">
      <c r="A16" s="198" t="inlineStr">
        <is>
          <t>Kyalami Corner</t>
        </is>
      </c>
      <c r="B16" s="200">
        <f>'3 - 9 May 2021'!D16</f>
        <v/>
      </c>
      <c r="C16" s="73" t="n">
        <v>125341.75</v>
      </c>
      <c r="D16" s="145" t="n">
        <v>114724.17</v>
      </c>
      <c r="E16" s="145" t="n">
        <v>281261.62</v>
      </c>
      <c r="F16" s="163">
        <f>IFERROR((SUM(D16-C16)/C16),0)</f>
        <v/>
      </c>
      <c r="G16" s="155">
        <f>IFERROR((SUM(D16-B16)/B16),0)</f>
        <v/>
      </c>
      <c r="H16" s="150" t="n">
        <v>422</v>
      </c>
      <c r="I16" s="63">
        <f>IFERROR(D16/H16,0)</f>
        <v/>
      </c>
      <c r="J16" s="61" t="n">
        <v>40</v>
      </c>
      <c r="K16" s="28">
        <f>IFERROR(J16/H16,0)</f>
        <v/>
      </c>
      <c r="L16" s="46">
        <f>J16+'12 - 18 April 2021'!L16+'19 - 25 April 2021'!J16+'26 April - 2 May 2021'!J16+'3 - 9 May 2021'!J16</f>
        <v/>
      </c>
      <c r="M16" s="172">
        <f>IFERROR(L16/SUM(H16),0)</f>
        <v/>
      </c>
      <c r="N16" s="260" t="n">
        <v>28313.73</v>
      </c>
      <c r="O16" s="89">
        <f>SUM(N16/D16)</f>
        <v/>
      </c>
      <c r="P16" s="260" t="n">
        <v>14025.57</v>
      </c>
      <c r="Q16" s="89">
        <f>SUM(P16/D16)</f>
        <v/>
      </c>
      <c r="R16" s="130" t="n">
        <v>5625.5</v>
      </c>
      <c r="S16" s="9" t="n"/>
      <c r="V16" s="238" t="n"/>
    </row>
    <row r="17" ht="15.6" customHeight="1">
      <c r="A17" s="251" t="inlineStr">
        <is>
          <t>Paulshof</t>
        </is>
      </c>
      <c r="B17" s="200">
        <f>'3 - 9 May 2021'!D17</f>
        <v/>
      </c>
      <c r="C17" s="73" t="n">
        <v>194146.4</v>
      </c>
      <c r="D17" s="145" t="n">
        <v>156416.17</v>
      </c>
      <c r="E17" s="145" t="n">
        <v>372667.22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73</v>
      </c>
      <c r="K17" s="28">
        <f>IFERROR(J17/H17,0)</f>
        <v/>
      </c>
      <c r="L17" s="46">
        <f>J17+'12 - 18 April 2021'!L17+'19 - 25 April 2021'!J17+'26 April - 2 May 2021'!J17+'3 - 9 May 2021'!J17</f>
        <v/>
      </c>
      <c r="M17" s="172">
        <f>IFERROR(L17/SUM(H17),0)</f>
        <v/>
      </c>
      <c r="N17" s="260" t="n">
        <v>31078.02</v>
      </c>
      <c r="O17" s="89">
        <f>SUM(N17/D17)</f>
        <v/>
      </c>
      <c r="P17" s="260" t="n">
        <v>15801.83</v>
      </c>
      <c r="Q17" s="89">
        <f>SUM(P17/D17)</f>
        <v/>
      </c>
      <c r="R17" s="130" t="n">
        <v>6109.8</v>
      </c>
      <c r="S17" s="9" t="n"/>
    </row>
    <row r="18" ht="15.6" customHeight="1">
      <c r="A18" s="198" t="inlineStr">
        <is>
          <t>Queenswood</t>
        </is>
      </c>
      <c r="B18" s="200">
        <f>'3 - 9 May 2021'!D18</f>
        <v/>
      </c>
      <c r="C18" s="73" t="n">
        <v>151423.45</v>
      </c>
      <c r="D18" s="145" t="n">
        <v>144258.99</v>
      </c>
      <c r="E18" s="145" t="n">
        <v>363956.74</v>
      </c>
      <c r="F18" s="163">
        <f>IFERROR((SUM(D18-C18)/C18),0)</f>
        <v/>
      </c>
      <c r="G18" s="155">
        <f>IFERROR((SUM(D18-B18)/B18),0)</f>
        <v/>
      </c>
      <c r="H18" s="150" t="n">
        <v>522</v>
      </c>
      <c r="I18" s="258">
        <f>IFERROR(D18/H18,0)</f>
        <v/>
      </c>
      <c r="J18" s="61" t="n">
        <v>121</v>
      </c>
      <c r="K18" s="28">
        <f>IFERROR(J18/H18,0)</f>
        <v/>
      </c>
      <c r="L18" s="46">
        <f>J18+'12 - 18 April 2021'!L18+'19 - 25 April 2021'!J18+'26 April - 2 May 2021'!J18+'3 - 9 May 2021'!J18</f>
        <v/>
      </c>
      <c r="M18" s="172">
        <f>IFERROR(L18/SUM(H18),0)</f>
        <v/>
      </c>
      <c r="N18" s="260" t="n">
        <v>14574.29</v>
      </c>
      <c r="O18" s="89">
        <f>SUM(N18/D18)</f>
        <v/>
      </c>
      <c r="P18" s="260" t="n">
        <v>14308.09</v>
      </c>
      <c r="Q18" s="89">
        <f>SUM(P18/D18)</f>
        <v/>
      </c>
      <c r="R18" s="130" t="n">
        <v>2931.5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147" t="n"/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'10 - 16 May 2021'!D6</f>
        <v/>
      </c>
      <c r="C6" s="255" t="n">
        <v>221316.49</v>
      </c>
      <c r="D6" s="197" t="n">
        <v>171452.75</v>
      </c>
      <c r="E6" s="129" t="n">
        <v>662589.22</v>
      </c>
      <c r="F6" s="162">
        <f>IFERROR((SUM(D6-C6)/C6),0)</f>
        <v/>
      </c>
      <c r="G6" s="154">
        <f>IFERROR((SUM(D6-B6)/B6),0)</f>
        <v/>
      </c>
      <c r="H6" s="149" t="n">
        <v>600</v>
      </c>
      <c r="I6" s="256">
        <f>IFERROR(D6/H6,0)</f>
        <v/>
      </c>
      <c r="J6" s="125" t="n">
        <v>96</v>
      </c>
      <c r="K6" s="126">
        <f>IFERROR(J6/H6,0)</f>
        <v/>
      </c>
      <c r="L6" s="46">
        <f>J6+'12 - 18 April 2021'!L6+'19 - 25 April 2021'!J6+'26 April - 2 May 2021'!J6+'3 - 9 May 2021'!J6+'10 - 16 May 2021'!J6</f>
        <v/>
      </c>
      <c r="M6" s="171">
        <f>IFERROR(L6/SUM(H6),0)</f>
        <v/>
      </c>
      <c r="N6" s="259" t="n">
        <v>44016.03</v>
      </c>
      <c r="O6" s="128">
        <f>SUM(N6/D6)</f>
        <v/>
      </c>
      <c r="P6" s="260" t="n">
        <v>0</v>
      </c>
      <c r="Q6" s="128">
        <f>SUM(P6/D6)</f>
        <v/>
      </c>
      <c r="R6" s="129" t="n">
        <v>9951.799999999999</v>
      </c>
      <c r="S6" s="26" t="n"/>
    </row>
    <row r="7" ht="15.6" customHeight="1">
      <c r="A7" s="409" t="inlineStr">
        <is>
          <t>Melrose Arch</t>
        </is>
      </c>
      <c r="B7" s="200">
        <f>'10 - 16 May 2021'!D7</f>
        <v/>
      </c>
      <c r="C7" s="73" t="n">
        <v>230507.03</v>
      </c>
      <c r="D7" s="145" t="n">
        <v>153733.9</v>
      </c>
      <c r="E7" s="145" t="n">
        <v>611014.05</v>
      </c>
      <c r="F7" s="163">
        <f>IFERROR((SUM(D7-C7)/C7),0)</f>
        <v/>
      </c>
      <c r="G7" s="155">
        <f>IFERROR((SUM(D7-B7)/B7),0)</f>
        <v/>
      </c>
      <c r="H7" s="150" t="n">
        <v>521</v>
      </c>
      <c r="I7" s="63">
        <f>IFERROR(D7/H7,0)</f>
        <v/>
      </c>
      <c r="J7" s="61" t="n">
        <v>66</v>
      </c>
      <c r="K7" s="28">
        <f>IFERROR(J7/H7,0)</f>
        <v/>
      </c>
      <c r="L7" s="46">
        <f>J7+'12 - 18 April 2021'!L7+'19 - 25 April 2021'!J7+'26 April - 2 May 2021'!J7+'3 - 9 May 2021'!J7+'10 - 16 May 2021'!J7</f>
        <v/>
      </c>
      <c r="M7" s="172">
        <f>IFERROR(L7/SUM(H7),0)</f>
        <v/>
      </c>
      <c r="N7" s="260" t="n">
        <v>20952.05</v>
      </c>
      <c r="O7" s="89">
        <f>SUM(N7/D7)</f>
        <v/>
      </c>
      <c r="P7" s="260" t="n">
        <v>7123.48</v>
      </c>
      <c r="Q7" s="89">
        <f>SUM(P7/D7)</f>
        <v/>
      </c>
      <c r="R7" s="130" t="n">
        <v>7352.15</v>
      </c>
      <c r="S7" s="26" t="n"/>
    </row>
    <row r="8" ht="15.6" customHeight="1">
      <c r="A8" s="409" t="inlineStr">
        <is>
          <t>Melville</t>
        </is>
      </c>
      <c r="B8" s="200">
        <f>'10 - 16 May 2021'!D8</f>
        <v/>
      </c>
      <c r="C8" s="73" t="n">
        <v>105221.78</v>
      </c>
      <c r="D8" s="145" t="n">
        <v>98667.17</v>
      </c>
      <c r="E8" s="145" t="n">
        <v>324724.22</v>
      </c>
      <c r="F8" s="163">
        <f>IFERROR((SUM(D8-C8)/C8),0)</f>
        <v/>
      </c>
      <c r="G8" s="155">
        <f>IFERROR((SUM(D8-B8)/B8),0)</f>
        <v/>
      </c>
      <c r="H8" s="150" t="n">
        <v>397</v>
      </c>
      <c r="I8" s="63">
        <f>IFERROR(D8/H8,0)</f>
        <v/>
      </c>
      <c r="J8" s="61" t="n">
        <v>27</v>
      </c>
      <c r="K8" s="28">
        <f>IFERROR(J8/H8,0)</f>
        <v/>
      </c>
      <c r="L8" s="46">
        <f>J8+'12 - 18 April 2021'!L8+'19 - 25 April 2021'!J8+'26 April - 2 May 2021'!J8+'3 - 9 May 2021'!J8+'10 - 16 May 2021'!J8</f>
        <v/>
      </c>
      <c r="M8" s="172">
        <f>IFERROR(L8/SUM(H8),0)</f>
        <v/>
      </c>
      <c r="N8" s="260" t="n">
        <v>38143.02</v>
      </c>
      <c r="O8" s="89">
        <f>SUM(N8/D8)</f>
        <v/>
      </c>
      <c r="P8" s="260" t="n">
        <v>13197.56</v>
      </c>
      <c r="Q8" s="89">
        <f>SUM(P8/D8)</f>
        <v/>
      </c>
      <c r="R8" s="130" t="n">
        <v>2476</v>
      </c>
      <c r="S8" s="26" t="n"/>
    </row>
    <row r="9" ht="15.6" customHeight="1">
      <c r="A9" s="409" t="inlineStr">
        <is>
          <t>Rosebank</t>
        </is>
      </c>
      <c r="B9" s="200">
        <f>'10 - 16 May 2021'!D9</f>
        <v/>
      </c>
      <c r="C9" s="73" t="n">
        <v>287415.07</v>
      </c>
      <c r="D9" s="145" t="n">
        <v>158175.95</v>
      </c>
      <c r="E9" s="145" t="n">
        <v>598381.79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66</v>
      </c>
      <c r="K9" s="28">
        <f>IFERROR(J9/H9,0)</f>
        <v/>
      </c>
      <c r="L9" s="46">
        <f>J9+'12 - 18 April 2021'!L9+'19 - 25 April 2021'!J9+'26 April - 2 May 2021'!J9+'3 - 9 May 2021'!J9+'10 - 16 May 2021'!J9</f>
        <v/>
      </c>
      <c r="M9" s="172">
        <f>IFERROR(L9/SUM(H9),0)</f>
        <v/>
      </c>
      <c r="N9" s="260" t="n">
        <v>21390.73</v>
      </c>
      <c r="O9" s="89">
        <f>SUM(N9/D9)</f>
        <v/>
      </c>
      <c r="P9" s="260" t="n">
        <v>14966.61</v>
      </c>
      <c r="Q9" s="89">
        <f>SUM(P9/D9)</f>
        <v/>
      </c>
      <c r="R9" s="130" t="n">
        <v>6943</v>
      </c>
      <c r="S9" s="26" t="n"/>
    </row>
    <row r="10" ht="15.6" customHeight="1">
      <c r="A10" s="411" t="inlineStr">
        <is>
          <t xml:space="preserve">Waterkloof </t>
        </is>
      </c>
      <c r="B10" s="200">
        <f>'10 - 16 May 2021'!D10</f>
        <v/>
      </c>
      <c r="C10" s="73" t="n">
        <v>144417.04</v>
      </c>
      <c r="D10" s="145" t="n">
        <v>130654.18</v>
      </c>
      <c r="E10" s="145" t="n">
        <v>440793.59</v>
      </c>
      <c r="F10" s="163">
        <f>IFERROR((SUM(D10-C10)/C10),0)</f>
        <v/>
      </c>
      <c r="G10" s="155">
        <f>IFERROR((SUM(D10-B10)/B10),0)</f>
        <v/>
      </c>
      <c r="H10" s="150" t="n">
        <v>472</v>
      </c>
      <c r="I10" s="63">
        <f>IFERROR(D10/H10,0)</f>
        <v/>
      </c>
      <c r="J10" s="61" t="n">
        <v>30</v>
      </c>
      <c r="K10" s="28">
        <f>IFERROR(J10/H10,0)</f>
        <v/>
      </c>
      <c r="L10" s="46">
        <f>J10+'12 - 18 April 2021'!L10+'19 - 25 April 2021'!J10+'26 April - 2 May 2021'!J10+'3 - 9 May 2021'!J10+'10 - 16 May 2021'!J10</f>
        <v/>
      </c>
      <c r="M10" s="172">
        <f>IFERROR(L10/SUM(H10),0)</f>
        <v/>
      </c>
      <c r="N10" s="260" t="n">
        <v>32171.3</v>
      </c>
      <c r="O10" s="89">
        <f>SUM(N10/D10)</f>
        <v/>
      </c>
      <c r="P10" s="260" t="n">
        <v>22870.61</v>
      </c>
      <c r="Q10" s="89">
        <f>SUM(P10/D10)</f>
        <v/>
      </c>
      <c r="R10" s="130" t="n">
        <v>4865.05</v>
      </c>
      <c r="S10" s="26" t="n"/>
    </row>
    <row r="11" ht="15.6" customHeight="1">
      <c r="A11" s="409" t="inlineStr">
        <is>
          <t>Eagles Landing</t>
        </is>
      </c>
      <c r="B11" s="200">
        <f>'10 - 16 May 2021'!D11</f>
        <v/>
      </c>
      <c r="C11" s="73" t="n">
        <v>330106.03</v>
      </c>
      <c r="D11" s="145" t="n">
        <v>260839.29</v>
      </c>
      <c r="E11" s="145" t="n">
        <v>879755.92</v>
      </c>
      <c r="F11" s="163">
        <f>IFERROR((SUM(D11-C11)/C11),0)</f>
        <v/>
      </c>
      <c r="G11" s="155">
        <f>IFERROR((SUM(D11-B11)/B11),0)</f>
        <v/>
      </c>
      <c r="H11" s="150" t="n">
        <v>911</v>
      </c>
      <c r="I11" s="63">
        <f>IFERROR(D11/H11,0)</f>
        <v/>
      </c>
      <c r="J11" s="61" t="n">
        <v>128</v>
      </c>
      <c r="K11" s="28">
        <f>IFERROR(J11/H11,0)</f>
        <v/>
      </c>
      <c r="L11" s="46">
        <f>J11+'12 - 18 April 2021'!L11+'19 - 25 April 2021'!J11+'26 April - 2 May 2021'!J11+'3 - 9 May 2021'!J11+'10 - 16 May 2021'!J11</f>
        <v/>
      </c>
      <c r="M11" s="172">
        <f>IFERROR(L11/SUM(H11),0)</f>
        <v/>
      </c>
      <c r="N11" s="260" t="n">
        <v>37238.05</v>
      </c>
      <c r="O11" s="89">
        <f>SUM(N11/D11)</f>
        <v/>
      </c>
      <c r="P11" s="260" t="n">
        <v>20437.13</v>
      </c>
      <c r="Q11" s="89">
        <f>SUM(P11/D11)</f>
        <v/>
      </c>
      <c r="R11" s="130" t="n">
        <v>13594</v>
      </c>
      <c r="S11" s="26" t="n"/>
    </row>
    <row r="12" ht="15.6" customHeight="1">
      <c r="A12" s="198" t="inlineStr">
        <is>
          <t>Stellenbosch</t>
        </is>
      </c>
      <c r="B12" s="200">
        <f>'10 - 16 May 2021'!D12</f>
        <v/>
      </c>
      <c r="C12" s="73" t="n">
        <v>129133.4</v>
      </c>
      <c r="D12" s="145" t="n">
        <v>110940.29</v>
      </c>
      <c r="E12" s="145" t="n">
        <v>331603.73</v>
      </c>
      <c r="F12" s="163">
        <f>IFERROR((SUM(D12-C12)/C12),0)</f>
        <v/>
      </c>
      <c r="G12" s="155">
        <f>IFERROR((SUM(D12-B12)/B12),0)</f>
        <v/>
      </c>
      <c r="H12" s="150" t="n">
        <v>416</v>
      </c>
      <c r="I12" s="63">
        <f>IFERROR(D12/H12,0)</f>
        <v/>
      </c>
      <c r="J12" s="61" t="n">
        <v>33</v>
      </c>
      <c r="K12" s="28">
        <f>IFERROR(J12/H12,0)</f>
        <v/>
      </c>
      <c r="L12" s="46">
        <f>J12+'12 - 18 April 2021'!L12+'19 - 25 April 2021'!J12+'26 April - 2 May 2021'!J12+'3 - 9 May 2021'!J12+'10 - 16 May 2021'!J12</f>
        <v/>
      </c>
      <c r="M12" s="172">
        <f>IFERROR(L12/SUM(H12),0)</f>
        <v/>
      </c>
      <c r="N12" s="260" t="n">
        <v>16381.87</v>
      </c>
      <c r="O12" s="89">
        <f>SUM(N12/D12)</f>
        <v/>
      </c>
      <c r="P12" s="260" t="n">
        <v>13038</v>
      </c>
      <c r="Q12" s="89">
        <f>SUM(P12/D12)</f>
        <v/>
      </c>
      <c r="R12" s="130" t="n">
        <v>7626.25</v>
      </c>
      <c r="S12" s="26" t="n"/>
    </row>
    <row r="13" ht="15.6" customHeight="1">
      <c r="A13" s="198" t="inlineStr">
        <is>
          <t>Lynnwood</t>
        </is>
      </c>
      <c r="B13" s="200">
        <f>'10 - 16 May 2021'!D13</f>
        <v/>
      </c>
      <c r="C13" s="73" t="n">
        <v>222565.67</v>
      </c>
      <c r="D13" s="145" t="n">
        <v>169683.54</v>
      </c>
      <c r="E13" s="145" t="n">
        <v>575101.89</v>
      </c>
      <c r="F13" s="163">
        <f>IFERROR((SUM(D13-C13)/C13),0)</f>
        <v/>
      </c>
      <c r="G13" s="155">
        <f>IFERROR((SUM(D13-B13)/B13),0)</f>
        <v/>
      </c>
      <c r="H13" s="150" t="n">
        <v>649</v>
      </c>
      <c r="I13" s="63">
        <f>IFERROR(D13/H13,0)</f>
        <v/>
      </c>
      <c r="J13" s="61" t="n">
        <v>95</v>
      </c>
      <c r="K13" s="28">
        <f>IFERROR(J13/H13,0)</f>
        <v/>
      </c>
      <c r="L13" s="46">
        <f>J13+'12 - 18 April 2021'!L13+'19 - 25 April 2021'!J13+'26 April - 2 May 2021'!J13+'3 - 9 May 2021'!J13+'10 - 16 May 2021'!J13</f>
        <v/>
      </c>
      <c r="M13" s="172">
        <f>IFERROR(L13/SUM(H13),0)</f>
        <v/>
      </c>
      <c r="N13" s="260" t="n">
        <v>34164.96</v>
      </c>
      <c r="O13" s="89">
        <f>SUM(N13/D13)</f>
        <v/>
      </c>
      <c r="P13" s="260" t="n">
        <v>23237.87</v>
      </c>
      <c r="Q13" s="89">
        <f>SUM(P13/D13)</f>
        <v/>
      </c>
      <c r="R13" s="130" t="n">
        <v>3409.75</v>
      </c>
      <c r="S13" s="26" t="n"/>
    </row>
    <row r="14" hidden="1" ht="15.6" customHeight="1">
      <c r="A14" s="198" t="inlineStr">
        <is>
          <t>Wellington</t>
        </is>
      </c>
      <c r="B14" s="200">
        <f>'10 - 16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'10 - 16 May 2021'!D15</f>
        <v/>
      </c>
      <c r="C15" s="73" t="n">
        <v>119331.58</v>
      </c>
      <c r="D15" s="145" t="n">
        <v>162458.28</v>
      </c>
      <c r="E15" s="145" t="n">
        <v>541646.3</v>
      </c>
      <c r="F15" s="163">
        <f>IFERROR((SUM(D15-C15)/C15),0)</f>
        <v/>
      </c>
      <c r="G15" s="155">
        <f>IFERROR((SUM(D15-B15)/B15),0)</f>
        <v/>
      </c>
      <c r="H15" s="150" t="n">
        <v>543</v>
      </c>
      <c r="I15" s="63">
        <f>IFERROR(D15/H15,0)</f>
        <v/>
      </c>
      <c r="J15" s="61" t="n">
        <v>61</v>
      </c>
      <c r="K15" s="28">
        <f>IFERROR(J15/H15,0)</f>
        <v/>
      </c>
      <c r="L15" s="46">
        <f>J15+'12 - 18 April 2021'!L15+'19 - 25 April 2021'!J15+'26 April - 2 May 2021'!J15+'3 - 9 May 2021'!J15+'10 - 16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12824.78</v>
      </c>
      <c r="Q15" s="89">
        <f>SUM(P15/D15)</f>
        <v/>
      </c>
      <c r="R15" s="130" t="n">
        <v>4609.5</v>
      </c>
      <c r="S15" s="9" t="n"/>
    </row>
    <row r="16" ht="15.6" customHeight="1">
      <c r="A16" s="198" t="inlineStr">
        <is>
          <t>Kyalami Corner</t>
        </is>
      </c>
      <c r="B16" s="200">
        <f>'10 - 16 May 2021'!D16</f>
        <v/>
      </c>
      <c r="C16" s="73" t="n">
        <v>120194.62</v>
      </c>
      <c r="D16" s="145" t="n">
        <v>108250.42</v>
      </c>
      <c r="E16" s="145" t="n">
        <v>389512.04</v>
      </c>
      <c r="F16" s="163">
        <f>IFERROR((SUM(D16-C16)/C16),0)</f>
        <v/>
      </c>
      <c r="G16" s="155">
        <f>IFERROR((SUM(D16-B16)/B16),0)</f>
        <v/>
      </c>
      <c r="H16" s="150" t="n">
        <v>414</v>
      </c>
      <c r="I16" s="63">
        <f>IFERROR(D16/H16,0)</f>
        <v/>
      </c>
      <c r="J16" s="61" t="n">
        <v>21</v>
      </c>
      <c r="K16" s="28">
        <f>IFERROR(J16/H16,0)</f>
        <v/>
      </c>
      <c r="L16" s="46">
        <f>J16+'12 - 18 April 2021'!L16+'19 - 25 April 2021'!J16+'26 April - 2 May 2021'!J16+'3 - 9 May 2021'!J16+'10 - 16 May 2021'!J16</f>
        <v/>
      </c>
      <c r="M16" s="172">
        <f>IFERROR(L16/SUM(H16),0)</f>
        <v/>
      </c>
      <c r="N16" s="260" t="n">
        <v>26529.6</v>
      </c>
      <c r="O16" s="89">
        <f>SUM(N16/D16)</f>
        <v/>
      </c>
      <c r="P16" s="260" t="n">
        <v>15204</v>
      </c>
      <c r="Q16" s="89">
        <f>SUM(P16/D16)</f>
        <v/>
      </c>
      <c r="R16" s="130" t="n">
        <v>6259.5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'10 - 16 May 2021'!D17</f>
        <v/>
      </c>
      <c r="C17" s="73" t="n">
        <v>199724.82</v>
      </c>
      <c r="D17" s="145" t="n">
        <v>156591.71</v>
      </c>
      <c r="E17" s="145" t="n">
        <v>529258.9300000001</v>
      </c>
      <c r="F17" s="163">
        <f>IFERROR((SUM(D17-C17)/C17),0)</f>
        <v/>
      </c>
      <c r="G17" s="155">
        <f>IFERROR((SUM(D17-B17)/B17),0)</f>
        <v/>
      </c>
      <c r="H17" s="150" t="n">
        <v>635</v>
      </c>
      <c r="I17" s="63">
        <f>IFERROR(D17/H17,0)</f>
        <v/>
      </c>
      <c r="J17" s="61" t="n">
        <v>65</v>
      </c>
      <c r="K17" s="28">
        <f>IFERROR(J17/H17,0)</f>
        <v/>
      </c>
      <c r="L17" s="46">
        <f>J17+'12 - 18 April 2021'!L17+'19 - 25 April 2021'!J17+'26 April - 2 May 2021'!J17+'3 - 9 May 2021'!J17+'10 - 16 May 2021'!J17</f>
        <v/>
      </c>
      <c r="M17" s="172">
        <f>IFERROR(L17/SUM(H17),0)</f>
        <v/>
      </c>
      <c r="N17" s="260" t="n">
        <v>24991.96</v>
      </c>
      <c r="O17" s="89">
        <f>SUM(N17/D17)</f>
        <v/>
      </c>
      <c r="P17" s="260" t="n">
        <v>22052.31</v>
      </c>
      <c r="Q17" s="89">
        <f>SUM(P17/D17)</f>
        <v/>
      </c>
      <c r="R17" s="130" t="n">
        <v>6005.5</v>
      </c>
      <c r="S17" s="9" t="n"/>
    </row>
    <row r="18" ht="15.6" customHeight="1">
      <c r="A18" s="198" t="inlineStr">
        <is>
          <t>Queenswood</t>
        </is>
      </c>
      <c r="B18" s="200">
        <f>'10 - 16 May 2021'!D18</f>
        <v/>
      </c>
      <c r="C18" s="73" t="n">
        <v>173318.51</v>
      </c>
      <c r="D18" s="145" t="n">
        <v>130122.86</v>
      </c>
      <c r="E18" s="145" t="n">
        <v>494079.62</v>
      </c>
      <c r="F18" s="163">
        <f>IFERROR((SUM(D18-C18)/C18),0)</f>
        <v/>
      </c>
      <c r="G18" s="155">
        <f>IFERROR((SUM(D18-B18)/B18),0)</f>
        <v/>
      </c>
      <c r="H18" s="150" t="n">
        <v>496</v>
      </c>
      <c r="I18" s="258">
        <f>IFERROR(D18/H18,0)</f>
        <v/>
      </c>
      <c r="J18" s="61" t="n">
        <v>89</v>
      </c>
      <c r="K18" s="28">
        <f>IFERROR(J18/H18,0)</f>
        <v/>
      </c>
      <c r="L18" s="46">
        <f>J18+'12 - 18 April 2021'!L18+'19 - 25 April 2021'!J18+'26 April - 2 May 2021'!J18+'3 - 9 May 2021'!J18+'10 - 16 May 2021'!J18</f>
        <v/>
      </c>
      <c r="M18" s="172">
        <f>IFERROR(L18/SUM(H18),0)</f>
        <v/>
      </c>
      <c r="N18" s="260" t="n">
        <v>21020.87</v>
      </c>
      <c r="O18" s="89">
        <f>SUM(N18/D18)</f>
        <v/>
      </c>
      <c r="P18" s="260" t="n">
        <v>9605.299999999999</v>
      </c>
      <c r="Q18" s="89">
        <f>SUM(P18/D18)</f>
        <v/>
      </c>
      <c r="R18" s="130" t="n">
        <v>4634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'17 - 23 May 2021'!D6</f>
        <v/>
      </c>
      <c r="C6" s="255" t="n">
        <v>228906.34</v>
      </c>
      <c r="D6" s="197" t="n">
        <v>214205.06</v>
      </c>
      <c r="E6" s="129" t="n">
        <v>876794.28</v>
      </c>
      <c r="F6" s="162">
        <f>IFERROR((SUM(D6-C6)/C6),0)</f>
        <v/>
      </c>
      <c r="G6" s="154">
        <f>IFERROR((SUM(D6-B6)/B6),0)</f>
        <v/>
      </c>
      <c r="H6" s="149" t="n">
        <v>651</v>
      </c>
      <c r="I6" s="256">
        <f>IFERROR(D6/H6,0)</f>
        <v/>
      </c>
      <c r="J6" s="125" t="n">
        <v>40</v>
      </c>
      <c r="K6" s="126">
        <f>IFERROR(J6/H6,0)</f>
        <v/>
      </c>
      <c r="L6" s="46">
        <f>J6+'12 - 18 April 2021'!L6+'19 - 25 April 2021'!J6+'26 April - 2 May 2021'!J6+'3 - 9 May 2021'!J6+'10 - 16 May 2021'!J6+'17 - 23 May 2021'!J6</f>
        <v/>
      </c>
      <c r="M6" s="171">
        <f>IFERROR(L6/SUM(H6),0)</f>
        <v/>
      </c>
      <c r="N6" s="259" t="n">
        <v>51027.35</v>
      </c>
      <c r="O6" s="128">
        <f>SUM(N6/D6)</f>
        <v/>
      </c>
      <c r="P6" s="260" t="n">
        <v>310.96</v>
      </c>
      <c r="Q6" s="128">
        <f>SUM(P6/D6)</f>
        <v/>
      </c>
      <c r="R6" s="129" t="n">
        <v>6856</v>
      </c>
      <c r="S6" s="26" t="n"/>
    </row>
    <row r="7" ht="15.6" customHeight="1">
      <c r="A7" s="409" t="inlineStr">
        <is>
          <t>Melrose Arch</t>
        </is>
      </c>
      <c r="B7" s="200">
        <f>'17 - 23 May 2021'!D7</f>
        <v/>
      </c>
      <c r="C7" s="73" t="n">
        <v>291098.72</v>
      </c>
      <c r="D7" s="145" t="n">
        <v>173233.87</v>
      </c>
      <c r="E7" s="145" t="n">
        <v>784247.92</v>
      </c>
      <c r="F7" s="163">
        <f>IFERROR((SUM(D7-C7)/C7),0)</f>
        <v/>
      </c>
      <c r="G7" s="155">
        <f>IFERROR((SUM(D7-B7)/B7),0)</f>
        <v/>
      </c>
      <c r="H7" s="150" t="n">
        <v>664</v>
      </c>
      <c r="I7" s="63">
        <f>IFERROR(D7/H7,0)</f>
        <v/>
      </c>
      <c r="J7" s="61" t="n">
        <v>54</v>
      </c>
      <c r="K7" s="28">
        <f>IFERROR(J7/H7,0)</f>
        <v/>
      </c>
      <c r="L7" s="46">
        <f>J7+'12 - 18 April 2021'!L7+'19 - 25 April 2021'!J7+'26 April - 2 May 2021'!J7+'3 - 9 May 2021'!J7+'10 - 16 May 2021'!J7+'17 - 23 May 2021'!J7</f>
        <v/>
      </c>
      <c r="M7" s="172">
        <f>IFERROR(L7/SUM(H7),0)</f>
        <v/>
      </c>
      <c r="N7" s="260" t="n">
        <v>26703.17</v>
      </c>
      <c r="O7" s="89">
        <f>SUM(N7/D7)</f>
        <v/>
      </c>
      <c r="P7" s="260" t="n">
        <v>9326.65</v>
      </c>
      <c r="Q7" s="89">
        <f>SUM(P7/D7)</f>
        <v/>
      </c>
      <c r="R7" s="130" t="n">
        <v>11634.85</v>
      </c>
      <c r="S7" s="26" t="n"/>
    </row>
    <row r="8" ht="15.6" customHeight="1">
      <c r="A8" s="409" t="inlineStr">
        <is>
          <t>Melville</t>
        </is>
      </c>
      <c r="B8" s="200">
        <f>'17 - 23 May 2021'!D8</f>
        <v/>
      </c>
      <c r="C8" s="73" t="n">
        <v>129833.28</v>
      </c>
      <c r="D8" s="145" t="n">
        <v>129250.82</v>
      </c>
      <c r="E8" s="145" t="n">
        <v>453975.04</v>
      </c>
      <c r="F8" s="163">
        <f>IFERROR((SUM(D8-C8)/C8),0)</f>
        <v/>
      </c>
      <c r="G8" s="155">
        <f>IFERROR((SUM(D8-B8)/B8),0)</f>
        <v/>
      </c>
      <c r="H8" s="150" t="n">
        <v>490</v>
      </c>
      <c r="I8" s="63">
        <f>IFERROR(D8/H8,0)</f>
        <v/>
      </c>
      <c r="J8" s="61" t="n">
        <v>37</v>
      </c>
      <c r="K8" s="28">
        <f>IFERROR(J8/H8,0)</f>
        <v/>
      </c>
      <c r="L8" s="46">
        <f>J8+'12 - 18 April 2021'!L8+'19 - 25 April 2021'!J8+'26 April - 2 May 2021'!J8+'3 - 9 May 2021'!J8+'10 - 16 May 2021'!J8+'17 - 23 May 2021'!J8</f>
        <v/>
      </c>
      <c r="M8" s="172">
        <f>IFERROR(L8/SUM(H8),0)</f>
        <v/>
      </c>
      <c r="N8" s="260" t="n">
        <v>45829.63</v>
      </c>
      <c r="O8" s="89">
        <f>SUM(N8/D8)</f>
        <v/>
      </c>
      <c r="P8" s="260" t="n">
        <v>17084.52</v>
      </c>
      <c r="Q8" s="89">
        <f>SUM(P8/D8)</f>
        <v/>
      </c>
      <c r="R8" s="130" t="n">
        <v>2866.7</v>
      </c>
      <c r="S8" s="26" t="n"/>
    </row>
    <row r="9" ht="15.6" customHeight="1">
      <c r="A9" s="409" t="inlineStr">
        <is>
          <t>Rosebank</t>
        </is>
      </c>
      <c r="B9" s="200">
        <f>'17 - 23 May 2021'!D9</f>
        <v/>
      </c>
      <c r="C9" s="73" t="n">
        <v>300962.43</v>
      </c>
      <c r="D9" s="145" t="n">
        <v>205371.75</v>
      </c>
      <c r="E9" s="145" t="n">
        <v>803753.54</v>
      </c>
      <c r="F9" s="163">
        <f>IFERROR((SUM(D9-C9)/C9),0)</f>
        <v/>
      </c>
      <c r="G9" s="155">
        <f>IFERROR((SUM(D9-B9)/B9),0)</f>
        <v/>
      </c>
      <c r="H9" s="150" t="n">
        <v>756</v>
      </c>
      <c r="I9" s="63">
        <f>IFERROR(D9/H9,0)</f>
        <v/>
      </c>
      <c r="J9" s="61" t="n">
        <v>46</v>
      </c>
      <c r="K9" s="28">
        <f>IFERROR(J9/H9,0)</f>
        <v/>
      </c>
      <c r="L9" s="46">
        <f>J9+'12 - 18 April 2021'!L9+'19 - 25 April 2021'!J9+'26 April - 2 May 2021'!J9+'3 - 9 May 2021'!J9+'10 - 16 May 2021'!J9+'17 - 23 May 2021'!J9</f>
        <v/>
      </c>
      <c r="M9" s="172">
        <f>IFERROR(L9/SUM(H9),0)</f>
        <v/>
      </c>
      <c r="N9" s="260" t="n">
        <v>17432.78</v>
      </c>
      <c r="O9" s="89">
        <f>SUM(N9/D9)</f>
        <v/>
      </c>
      <c r="P9" s="260" t="n">
        <v>17417.5</v>
      </c>
      <c r="Q9" s="89">
        <f>SUM(P9/D9)</f>
        <v/>
      </c>
      <c r="R9" s="130" t="n">
        <v>9342.799999999999</v>
      </c>
      <c r="S9" s="26" t="n"/>
    </row>
    <row r="10" ht="15.6" customHeight="1">
      <c r="A10" s="411" t="inlineStr">
        <is>
          <t xml:space="preserve">Waterkloof </t>
        </is>
      </c>
      <c r="B10" s="200">
        <f>'17 - 23 May 2021'!D10</f>
        <v/>
      </c>
      <c r="C10" s="73" t="n">
        <v>163214.69</v>
      </c>
      <c r="D10" s="145" t="n">
        <v>112263.55</v>
      </c>
      <c r="E10" s="145" t="n">
        <v>553057.14</v>
      </c>
      <c r="F10" s="163">
        <f>IFERROR((SUM(D10-C10)/C10),0)</f>
        <v/>
      </c>
      <c r="G10" s="155">
        <f>IFERROR((SUM(D10-B10)/B10),0)</f>
        <v/>
      </c>
      <c r="H10" s="150" t="n">
        <v>407</v>
      </c>
      <c r="I10" s="63">
        <f>IFERROR(D10/H10,0)</f>
        <v/>
      </c>
      <c r="J10" s="61" t="n">
        <v>64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</f>
        <v/>
      </c>
      <c r="M10" s="172">
        <f>IFERROR(L10/SUM(H10),0)</f>
        <v/>
      </c>
      <c r="N10" s="260" t="n">
        <v>24059.9</v>
      </c>
      <c r="O10" s="89">
        <f>SUM(N10/D10)</f>
        <v/>
      </c>
      <c r="P10" s="260" t="n">
        <v>21859.79</v>
      </c>
      <c r="Q10" s="89">
        <f>SUM(P10/D10)</f>
        <v/>
      </c>
      <c r="R10" s="130" t="n">
        <v>5642.45</v>
      </c>
      <c r="S10" s="26" t="n"/>
    </row>
    <row r="11" ht="15.6" customHeight="1">
      <c r="A11" s="409" t="inlineStr">
        <is>
          <t>Eagles Landing</t>
        </is>
      </c>
      <c r="B11" s="200">
        <f>'17 - 23 May 2021'!D11</f>
        <v/>
      </c>
      <c r="C11" s="73" t="n">
        <v>346283.66</v>
      </c>
      <c r="D11" s="145" t="n">
        <v>258592</v>
      </c>
      <c r="E11" s="145" t="n">
        <v>1138347.92</v>
      </c>
      <c r="F11" s="163">
        <f>IFERROR((SUM(D11-C11)/C11),0)</f>
        <v/>
      </c>
      <c r="G11" s="155">
        <f>IFERROR((SUM(D11-B11)/B11),0)</f>
        <v/>
      </c>
      <c r="H11" s="150" t="n">
        <v>949</v>
      </c>
      <c r="I11" s="63">
        <f>IFERROR(D11/H11,0)</f>
        <v/>
      </c>
      <c r="J11" s="61" t="n">
        <v>114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</f>
        <v/>
      </c>
      <c r="M11" s="172">
        <f>IFERROR(L11/SUM(H11),0)</f>
        <v/>
      </c>
      <c r="N11" s="260" t="n">
        <v>38149.53</v>
      </c>
      <c r="O11" s="89">
        <f>SUM(N11/D11)</f>
        <v/>
      </c>
      <c r="P11" s="260" t="n">
        <v>19609.09</v>
      </c>
      <c r="Q11" s="89">
        <f>SUM(P11/D11)</f>
        <v/>
      </c>
      <c r="R11" s="130" t="n">
        <v>14717.5</v>
      </c>
      <c r="S11" s="26" t="n"/>
    </row>
    <row r="12" ht="15.6" customHeight="1">
      <c r="A12" s="198" t="inlineStr">
        <is>
          <t>Stellenbosch</t>
        </is>
      </c>
      <c r="B12" s="200">
        <f>'17 - 23 May 2021'!D12</f>
        <v/>
      </c>
      <c r="C12" s="73" t="n">
        <v>146968.33</v>
      </c>
      <c r="D12" s="145" t="n">
        <v>110629.59</v>
      </c>
      <c r="E12" s="145" t="n">
        <v>442233.32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42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</f>
        <v/>
      </c>
      <c r="M12" s="172">
        <f>IFERROR(L12/SUM(H12),0)</f>
        <v/>
      </c>
      <c r="N12" s="260" t="n">
        <v>14709.74</v>
      </c>
      <c r="O12" s="89">
        <f>SUM(N12/D12)</f>
        <v/>
      </c>
      <c r="P12" s="260" t="n">
        <v>10867.65</v>
      </c>
      <c r="Q12" s="89">
        <f>SUM(P12/D12)</f>
        <v/>
      </c>
      <c r="R12" s="130" t="n">
        <v>9037</v>
      </c>
      <c r="S12" s="26" t="n"/>
    </row>
    <row r="13" ht="15.6" customHeight="1">
      <c r="A13" s="198" t="inlineStr">
        <is>
          <t>Lynnwood</t>
        </is>
      </c>
      <c r="B13" s="200">
        <f>'17 - 23 May 2021'!D13</f>
        <v/>
      </c>
      <c r="C13" s="73" t="n">
        <v>236376.68</v>
      </c>
      <c r="D13" s="145" t="n">
        <v>201178.29</v>
      </c>
      <c r="E13" s="145" t="n">
        <v>776280.1800000001</v>
      </c>
      <c r="F13" s="163">
        <f>IFERROR((SUM(D13-C13)/C13),0)</f>
        <v/>
      </c>
      <c r="G13" s="155">
        <f>IFERROR((SUM(D13-B13)/B13),0)</f>
        <v/>
      </c>
      <c r="H13" s="150" t="n">
        <v>732</v>
      </c>
      <c r="I13" s="63">
        <f>IFERROR(D13/H13,0)</f>
        <v/>
      </c>
      <c r="J13" s="61" t="n">
        <v>86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</f>
        <v/>
      </c>
      <c r="M13" s="172">
        <f>IFERROR(L13/SUM(H13),0)</f>
        <v/>
      </c>
      <c r="N13" s="260" t="n">
        <v>30633.65</v>
      </c>
      <c r="O13" s="89">
        <f>SUM(N13/D13)</f>
        <v/>
      </c>
      <c r="P13" s="260" t="n">
        <v>28744.77</v>
      </c>
      <c r="Q13" s="89">
        <f>SUM(P13/D13)</f>
        <v/>
      </c>
      <c r="R13" s="130" t="n">
        <v>2987.75</v>
      </c>
      <c r="S13" s="26" t="n"/>
    </row>
    <row r="14" hidden="1" ht="15.6" customHeight="1">
      <c r="A14" s="198" t="inlineStr">
        <is>
          <t>Wellington</t>
        </is>
      </c>
      <c r="B14" s="200">
        <f>'17 - 23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'17 - 23 May 2021'!D15</f>
        <v/>
      </c>
      <c r="C15" s="73" t="n">
        <v>132890.64</v>
      </c>
      <c r="D15" s="145" t="n">
        <v>139836.46</v>
      </c>
      <c r="E15" s="145" t="n">
        <v>681482.76</v>
      </c>
      <c r="F15" s="163">
        <f>IFERROR((SUM(D15-C15)/C15),0)</f>
        <v/>
      </c>
      <c r="G15" s="155">
        <f>IFERROR((SUM(D15-B15)/B15),0)</f>
        <v/>
      </c>
      <c r="H15" s="150" t="n">
        <v>495</v>
      </c>
      <c r="I15" s="63">
        <f>IFERROR(D15/H15,0)</f>
        <v/>
      </c>
      <c r="J15" s="61" t="n">
        <v>80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15304.7</v>
      </c>
      <c r="Q15" s="89">
        <f>SUM(P15/D15)</f>
        <v/>
      </c>
      <c r="R15" s="130" t="n">
        <v>4255.7</v>
      </c>
      <c r="S15" s="9" t="n"/>
    </row>
    <row r="16" ht="15.6" customHeight="1">
      <c r="A16" s="198" t="inlineStr">
        <is>
          <t>Kyalami Corner</t>
        </is>
      </c>
      <c r="B16" s="200">
        <f>'17 - 23 May 2021'!D16</f>
        <v/>
      </c>
      <c r="C16" s="73" t="n">
        <v>132344.62</v>
      </c>
      <c r="D16" s="145" t="n">
        <v>131494.71</v>
      </c>
      <c r="E16" s="145" t="n">
        <v>521006.75</v>
      </c>
      <c r="F16" s="163">
        <f>IFERROR((SUM(D16-C16)/C16),0)</f>
        <v/>
      </c>
      <c r="G16" s="155">
        <f>IFERROR((SUM(D16-B16)/B16),0)</f>
        <v/>
      </c>
      <c r="H16" s="150" t="n">
        <v>475</v>
      </c>
      <c r="I16" s="63">
        <f>IFERROR(D16/H16,0)</f>
        <v/>
      </c>
      <c r="J16" s="61" t="n">
        <v>41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</f>
        <v/>
      </c>
      <c r="M16" s="172">
        <f>IFERROR(L16/SUM(H16),0)</f>
        <v/>
      </c>
      <c r="N16" s="260" t="n">
        <v>29982.87</v>
      </c>
      <c r="O16" s="89">
        <f>SUM(N16/D16)</f>
        <v/>
      </c>
      <c r="P16" s="260" t="n">
        <v>18599.3</v>
      </c>
      <c r="Q16" s="89">
        <f>SUM(P16/D16)</f>
        <v/>
      </c>
      <c r="R16" s="130" t="n">
        <v>4828.5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'17 - 23 May 2021'!D17</f>
        <v/>
      </c>
      <c r="C17" s="73" t="n">
        <v>191675.07</v>
      </c>
      <c r="D17" s="145" t="n">
        <v>160723.01</v>
      </c>
      <c r="E17" s="145" t="n">
        <v>689981.9399999999</v>
      </c>
      <c r="F17" s="163">
        <f>IFERROR((SUM(D17-C17)/C17),0)</f>
        <v/>
      </c>
      <c r="G17" s="155">
        <f>IFERROR((SUM(D17-B17)/B17),0)</f>
        <v/>
      </c>
      <c r="H17" s="150" t="n">
        <v>622</v>
      </c>
      <c r="I17" s="63">
        <f>IFERROR(D17/H17,0)</f>
        <v/>
      </c>
      <c r="J17" s="61" t="n">
        <v>92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</f>
        <v/>
      </c>
      <c r="M17" s="172">
        <f>IFERROR(L17/SUM(H17),0)</f>
        <v/>
      </c>
      <c r="N17" s="260" t="n">
        <v>24871.87</v>
      </c>
      <c r="O17" s="89">
        <f>SUM(N17/D17)</f>
        <v/>
      </c>
      <c r="P17" s="260" t="n">
        <v>20326.62</v>
      </c>
      <c r="Q17" s="89">
        <f>SUM(P17/D17)</f>
        <v/>
      </c>
      <c r="R17" s="130" t="n">
        <v>6225.35</v>
      </c>
      <c r="S17" s="9" t="n"/>
    </row>
    <row r="18" ht="15.6" customHeight="1">
      <c r="A18" s="198" t="inlineStr">
        <is>
          <t>Queenswood</t>
        </is>
      </c>
      <c r="B18" s="200">
        <f>'17 - 23 May 2021'!D18</f>
        <v/>
      </c>
      <c r="C18" s="73" t="n">
        <v>173995.83</v>
      </c>
      <c r="D18" s="145" t="n">
        <v>158856.56</v>
      </c>
      <c r="E18" s="145" t="n">
        <v>652936.1800000001</v>
      </c>
      <c r="F18" s="163">
        <f>IFERROR((SUM(D18-C18)/C18),0)</f>
        <v/>
      </c>
      <c r="G18" s="155">
        <f>IFERROR((SUM(D18-B18)/B18),0)</f>
        <v/>
      </c>
      <c r="H18" s="150" t="n">
        <v>568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</f>
        <v/>
      </c>
      <c r="M18" s="172">
        <f>IFERROR(L18/SUM(H18),0)</f>
        <v/>
      </c>
      <c r="N18" s="260" t="n">
        <v>24172.67</v>
      </c>
      <c r="O18" s="89">
        <f>SUM(N18/D18)</f>
        <v/>
      </c>
      <c r="P18" s="260" t="n">
        <v>19010.29</v>
      </c>
      <c r="Q18" s="89">
        <f>SUM(P18/D18)</f>
        <v/>
      </c>
      <c r="R18" s="130" t="n">
        <v>4727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'24 - 30 May 2021'!D6</f>
        <v/>
      </c>
      <c r="C6" s="255" t="n">
        <v>245133.38</v>
      </c>
      <c r="D6" s="197" t="n">
        <v>181872.52</v>
      </c>
      <c r="E6" s="129" t="n">
        <v>167499.26</v>
      </c>
      <c r="F6" s="162">
        <f>IFERROR((SUM(D6-C6)/C6),0)</f>
        <v/>
      </c>
      <c r="G6" s="154">
        <f>IFERROR((SUM(D6-B6)/B6),0)</f>
        <v/>
      </c>
      <c r="H6" s="149" t="n">
        <v>602</v>
      </c>
      <c r="I6" s="256">
        <f>IFERROR(D6/H6,0)</f>
        <v/>
      </c>
      <c r="J6" s="125" t="n">
        <v>64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</f>
        <v/>
      </c>
      <c r="M6" s="171">
        <f>IFERROR(L6/SUM(H6),0)</f>
        <v/>
      </c>
      <c r="N6" s="259" t="n">
        <v>50558.7</v>
      </c>
      <c r="O6" s="128">
        <f>SUM(N6/D6)</f>
        <v/>
      </c>
      <c r="P6" s="260" t="n">
        <v>94</v>
      </c>
      <c r="Q6" s="128">
        <f>SUM(P6/D6)</f>
        <v/>
      </c>
      <c r="R6" s="129" t="n">
        <v>8017.5</v>
      </c>
      <c r="S6" s="26" t="n"/>
    </row>
    <row r="7" ht="15.6" customHeight="1">
      <c r="A7" s="409" t="inlineStr">
        <is>
          <t>Melrose Arch</t>
        </is>
      </c>
      <c r="B7" s="200">
        <f>'24 - 30 May 2021'!D7</f>
        <v/>
      </c>
      <c r="C7" s="73" t="n">
        <v>262809.21</v>
      </c>
      <c r="D7" s="145" t="n">
        <v>137349.18</v>
      </c>
      <c r="E7" s="145" t="n">
        <v>128536.47</v>
      </c>
      <c r="F7" s="163">
        <f>IFERROR((SUM(D7-C7)/C7),0)</f>
        <v/>
      </c>
      <c r="G7" s="155">
        <f>IFERROR((SUM(D7-B7)/B7),0)</f>
        <v/>
      </c>
      <c r="H7" s="150" t="n">
        <v>490</v>
      </c>
      <c r="I7" s="63">
        <f>IFERROR(D7/H7,0)</f>
        <v/>
      </c>
      <c r="J7" s="61" t="n">
        <v>68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</f>
        <v/>
      </c>
      <c r="M7" s="172">
        <f>IFERROR(L7/SUM(H7),0)</f>
        <v/>
      </c>
      <c r="N7" s="260" t="n">
        <v>24097.81</v>
      </c>
      <c r="O7" s="89">
        <f>SUM(N7/D7)</f>
        <v/>
      </c>
      <c r="P7" s="260" t="n">
        <v>9744.780000000001</v>
      </c>
      <c r="Q7" s="89">
        <f>SUM(P7/D7)</f>
        <v/>
      </c>
      <c r="R7" s="130" t="n">
        <v>6296.55</v>
      </c>
      <c r="S7" s="26" t="n"/>
    </row>
    <row r="8" ht="15.6" customHeight="1">
      <c r="A8" s="409" t="inlineStr">
        <is>
          <t>Melville</t>
        </is>
      </c>
      <c r="B8" s="200">
        <f>'24 - 30 May 2021'!D8</f>
        <v/>
      </c>
      <c r="C8" s="73" t="n">
        <v>109274.66</v>
      </c>
      <c r="D8" s="145" t="n">
        <v>101572.02</v>
      </c>
      <c r="E8" s="145" t="n">
        <v>94208.64999999999</v>
      </c>
      <c r="F8" s="163">
        <f>IFERROR((SUM(D8-C8)/C8),0)</f>
        <v/>
      </c>
      <c r="G8" s="155">
        <f>IFERROR((SUM(D8-B8)/B8),0)</f>
        <v/>
      </c>
      <c r="H8" s="150" t="n">
        <v>437</v>
      </c>
      <c r="I8" s="63">
        <f>IFERROR(D8/H8,0)</f>
        <v/>
      </c>
      <c r="J8" s="61" t="n">
        <v>29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</f>
        <v/>
      </c>
      <c r="M8" s="172">
        <f>IFERROR(L8/SUM(H8),0)</f>
        <v/>
      </c>
      <c r="N8" s="260" t="n">
        <v>46564.29</v>
      </c>
      <c r="O8" s="89">
        <f>SUM(N8/D8)</f>
        <v/>
      </c>
      <c r="P8" s="260" t="n">
        <v>12126.04</v>
      </c>
      <c r="Q8" s="89">
        <f>SUM(P8/D8)</f>
        <v/>
      </c>
      <c r="R8" s="130" t="n">
        <v>3507</v>
      </c>
      <c r="S8" s="26" t="n"/>
    </row>
    <row r="9" ht="15.6" customHeight="1">
      <c r="A9" s="409" t="inlineStr">
        <is>
          <t>Rosebank</t>
        </is>
      </c>
      <c r="B9" s="200">
        <f>'24 - 30 May 2021'!D9</f>
        <v/>
      </c>
      <c r="C9" s="73" t="n">
        <v>308917.94</v>
      </c>
      <c r="D9" s="145" t="n">
        <v>148315.18</v>
      </c>
      <c r="E9" s="145" t="n">
        <v>135412.9</v>
      </c>
      <c r="F9" s="163">
        <f>IFERROR((SUM(D9-C9)/C9),0)</f>
        <v/>
      </c>
      <c r="G9" s="155">
        <f>IFERROR((SUM(D9-B9)/B9),0)</f>
        <v/>
      </c>
      <c r="H9" s="150" t="n">
        <v>584</v>
      </c>
      <c r="I9" s="63">
        <f>IFERROR(D9/H9,0)</f>
        <v/>
      </c>
      <c r="J9" s="61" t="n">
        <v>40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</f>
        <v/>
      </c>
      <c r="M9" s="172">
        <f>IFERROR(L9/SUM(H9),0)</f>
        <v/>
      </c>
      <c r="N9" s="260" t="n">
        <v>18550.49</v>
      </c>
      <c r="O9" s="89">
        <f>SUM(N9/D9)</f>
        <v/>
      </c>
      <c r="P9" s="260" t="n">
        <v>11683.64</v>
      </c>
      <c r="Q9" s="89">
        <f>SUM(P9/D9)</f>
        <v/>
      </c>
      <c r="R9" s="130" t="n">
        <v>8156.5</v>
      </c>
      <c r="S9" s="26" t="n"/>
    </row>
    <row r="10" ht="15.6" customHeight="1">
      <c r="A10" s="411" t="inlineStr">
        <is>
          <t xml:space="preserve">Waterkloof </t>
        </is>
      </c>
      <c r="B10" s="200">
        <f>'24 - 30 May 2021'!D10</f>
        <v/>
      </c>
      <c r="C10" s="73" t="n">
        <v>137777</v>
      </c>
      <c r="D10" s="145" t="n">
        <v>135817.28</v>
      </c>
      <c r="E10" s="145" t="n">
        <v>126425.29</v>
      </c>
      <c r="F10" s="163">
        <f>IFERROR((SUM(D10-C10)/C10),0)</f>
        <v/>
      </c>
      <c r="G10" s="155">
        <f>IFERROR((SUM(D10-B10)/B10),0)</f>
        <v/>
      </c>
      <c r="H10" s="150" t="n">
        <v>449</v>
      </c>
      <c r="I10" s="63">
        <f>IFERROR(D10/H10,0)</f>
        <v/>
      </c>
      <c r="J10" s="61" t="n">
        <v>36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</f>
        <v/>
      </c>
      <c r="M10" s="172">
        <f>IFERROR(L10/SUM(H10),0)</f>
        <v/>
      </c>
      <c r="N10" s="260" t="n">
        <v>30501.8</v>
      </c>
      <c r="O10" s="89">
        <f>SUM(N10/D10)</f>
        <v/>
      </c>
      <c r="P10" s="260" t="n">
        <v>28447.18</v>
      </c>
      <c r="Q10" s="89">
        <f>SUM(P10/D10)</f>
        <v/>
      </c>
      <c r="R10" s="130" t="n">
        <v>6397.55</v>
      </c>
      <c r="S10" s="26" t="n"/>
    </row>
    <row r="11" ht="15.6" customHeight="1">
      <c r="A11" s="409" t="inlineStr">
        <is>
          <t>Eagles Landing</t>
        </is>
      </c>
      <c r="B11" s="200">
        <f>'24 - 30 May 2021'!D11</f>
        <v/>
      </c>
      <c r="C11" s="73" t="n">
        <v>317888.62</v>
      </c>
      <c r="D11" s="145" t="n">
        <v>266240.07</v>
      </c>
      <c r="E11" s="145" t="n">
        <v>246747.14</v>
      </c>
      <c r="F11" s="163">
        <f>IFERROR((SUM(D11-C11)/C11),0)</f>
        <v/>
      </c>
      <c r="G11" s="155">
        <f>IFERROR((SUM(D11-B11)/B11),0)</f>
        <v/>
      </c>
      <c r="H11" s="150" t="n">
        <v>890</v>
      </c>
      <c r="I11" s="63">
        <f>IFERROR(D11/H11,0)</f>
        <v/>
      </c>
      <c r="J11" s="61" t="n">
        <v>110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</f>
        <v/>
      </c>
      <c r="M11" s="172">
        <f>IFERROR(L11/SUM(H11),0)</f>
        <v/>
      </c>
      <c r="N11" s="260" t="n">
        <v>40835.8</v>
      </c>
      <c r="O11" s="89">
        <f>SUM(N11/D11)</f>
        <v/>
      </c>
      <c r="P11" s="260" t="n">
        <v>21873.57</v>
      </c>
      <c r="Q11" s="89">
        <f>SUM(P11/D11)</f>
        <v/>
      </c>
      <c r="R11" s="130" t="n">
        <v>13168</v>
      </c>
      <c r="S11" s="26" t="n"/>
    </row>
    <row r="12" ht="15.6" customHeight="1">
      <c r="A12" s="198" t="inlineStr">
        <is>
          <t>Stellenbosch</t>
        </is>
      </c>
      <c r="B12" s="200">
        <f>'24 - 30 May 2021'!D12</f>
        <v/>
      </c>
      <c r="C12" s="73" t="n">
        <v>132072.19</v>
      </c>
      <c r="D12" s="145" t="n">
        <v>113857</v>
      </c>
      <c r="E12" s="145" t="n">
        <v>107222.67</v>
      </c>
      <c r="F12" s="163">
        <f>IFERROR((SUM(D12-C12)/C12),0)</f>
        <v/>
      </c>
      <c r="G12" s="155">
        <f>IFERROR((SUM(D12-B12)/B12),0)</f>
        <v/>
      </c>
      <c r="H12" s="150" t="n">
        <v>423</v>
      </c>
      <c r="I12" s="63">
        <f>IFERROR(D12/H12,0)</f>
        <v/>
      </c>
      <c r="J12" s="61" t="n">
        <v>54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</f>
        <v/>
      </c>
      <c r="M12" s="172">
        <f>IFERROR(L12/SUM(H12),0)</f>
        <v/>
      </c>
      <c r="N12" s="260" t="n">
        <v>13050.17</v>
      </c>
      <c r="O12" s="89">
        <f>SUM(N12/D12)</f>
        <v/>
      </c>
      <c r="P12" s="260" t="n">
        <v>10038.61</v>
      </c>
      <c r="Q12" s="89">
        <f>SUM(P12/D12)</f>
        <v/>
      </c>
      <c r="R12" s="130" t="n">
        <v>8808.450000000001</v>
      </c>
      <c r="S12" s="26" t="n"/>
    </row>
    <row r="13" ht="15.6" customHeight="1">
      <c r="A13" s="198" t="inlineStr">
        <is>
          <t>Lynnwood</t>
        </is>
      </c>
      <c r="B13" s="200">
        <f>'24 - 30 May 2021'!D13</f>
        <v/>
      </c>
      <c r="C13" s="73" t="n">
        <v>205934.81</v>
      </c>
      <c r="D13" s="145" t="n">
        <v>173078.97</v>
      </c>
      <c r="E13" s="145" t="n">
        <v>154486.89</v>
      </c>
      <c r="F13" s="163">
        <f>IFERROR((SUM(D13-C13)/C13),0)</f>
        <v/>
      </c>
      <c r="G13" s="155">
        <f>IFERROR((SUM(D13-B13)/B13),0)</f>
        <v/>
      </c>
      <c r="H13" s="150" t="n">
        <v>695</v>
      </c>
      <c r="I13" s="63">
        <f>IFERROR(D13/H13,0)</f>
        <v/>
      </c>
      <c r="J13" s="61" t="n">
        <v>89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</f>
        <v/>
      </c>
      <c r="M13" s="172">
        <f>IFERROR(L13/SUM(H13),0)</f>
        <v/>
      </c>
      <c r="N13" s="260" t="n">
        <v>31898.02</v>
      </c>
      <c r="O13" s="89">
        <f>SUM(N13/D13)</f>
        <v/>
      </c>
      <c r="P13" s="260" t="n">
        <v>25653.87</v>
      </c>
      <c r="Q13" s="89">
        <f>SUM(P13/D13)</f>
        <v/>
      </c>
      <c r="R13" s="130" t="n">
        <v>1873</v>
      </c>
      <c r="S13" s="26" t="n"/>
    </row>
    <row r="14" hidden="1" ht="15.6" customHeight="1">
      <c r="A14" s="198" t="inlineStr">
        <is>
          <t>Wellington</t>
        </is>
      </c>
      <c r="B14" s="200">
        <f>'24 - 30 May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'24 - 30 May 2021'!D15</f>
        <v/>
      </c>
      <c r="C15" s="73" t="n">
        <v>129751.08</v>
      </c>
      <c r="D15" s="145" t="n">
        <v>119262.39</v>
      </c>
      <c r="E15" s="145" t="n">
        <v>110899.23</v>
      </c>
      <c r="F15" s="163">
        <f>IFERROR((SUM(D15-C15)/C15),0)</f>
        <v/>
      </c>
      <c r="G15" s="155">
        <f>IFERROR((SUM(D15-B15)/B15),0)</f>
        <v/>
      </c>
      <c r="H15" s="150" t="n">
        <v>441</v>
      </c>
      <c r="I15" s="63">
        <f>IFERROR(D15/H15,0)</f>
        <v/>
      </c>
      <c r="J15" s="61" t="n">
        <v>47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13783.48</v>
      </c>
      <c r="Q15" s="89">
        <f>SUM(P15/D15)</f>
        <v/>
      </c>
      <c r="R15" s="130" t="n">
        <v>4477.8</v>
      </c>
      <c r="S15" s="9" t="n"/>
    </row>
    <row r="16" ht="15.6" customHeight="1">
      <c r="A16" s="198" t="inlineStr">
        <is>
          <t>Kyalami Corner</t>
        </is>
      </c>
      <c r="B16" s="200">
        <f>'24 - 30 May 2021'!D16</f>
        <v/>
      </c>
      <c r="C16" s="73" t="n">
        <v>113756.77</v>
      </c>
      <c r="D16" s="145" t="n">
        <v>110387.7</v>
      </c>
      <c r="E16" s="145" t="n">
        <v>101693.33</v>
      </c>
      <c r="F16" s="163">
        <f>IFERROR((SUM(D16-C16)/C16),0)</f>
        <v/>
      </c>
      <c r="G16" s="155">
        <f>IFERROR((SUM(D16-B16)/B16),0)</f>
        <v/>
      </c>
      <c r="H16" s="150" t="n">
        <v>433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</f>
        <v/>
      </c>
      <c r="M16" s="172">
        <f>IFERROR(L16/SUM(H16),0)</f>
        <v/>
      </c>
      <c r="N16" s="260" t="n">
        <v>30638.3</v>
      </c>
      <c r="O16" s="89">
        <f>SUM(N16/D16)</f>
        <v/>
      </c>
      <c r="P16" s="260" t="n">
        <v>14691.52</v>
      </c>
      <c r="Q16" s="89">
        <f>SUM(P16/D16)</f>
        <v/>
      </c>
      <c r="R16" s="130" t="n">
        <v>4128.5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'24 - 30 May 2021'!D17</f>
        <v/>
      </c>
      <c r="C17" s="73" t="n">
        <v>192168.17</v>
      </c>
      <c r="D17" s="145" t="n">
        <v>165603.86</v>
      </c>
      <c r="E17" s="145" t="n">
        <v>156056.25</v>
      </c>
      <c r="F17" s="163">
        <f>IFERROR((SUM(D17-C17)/C17),0)</f>
        <v/>
      </c>
      <c r="G17" s="155">
        <f>IFERROR((SUM(D17-B17)/B17),0)</f>
        <v/>
      </c>
      <c r="H17" s="150" t="n">
        <v>659</v>
      </c>
      <c r="I17" s="63">
        <f>IFERROR(D17/H17,0)</f>
        <v/>
      </c>
      <c r="J17" s="61" t="n">
        <v>88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</f>
        <v/>
      </c>
      <c r="M17" s="172">
        <f>IFERROR(L17/SUM(H17),0)</f>
        <v/>
      </c>
      <c r="N17" s="260" t="n">
        <v>32030.48</v>
      </c>
      <c r="O17" s="89">
        <f>SUM(N17/D17)</f>
        <v/>
      </c>
      <c r="P17" s="260" t="n">
        <v>20007.7</v>
      </c>
      <c r="Q17" s="89">
        <f>SUM(P17/D17)</f>
        <v/>
      </c>
      <c r="R17" s="130" t="n">
        <v>5549.5</v>
      </c>
      <c r="S17" s="9" t="n"/>
    </row>
    <row r="18" ht="15.6" customHeight="1">
      <c r="A18" s="198" t="inlineStr">
        <is>
          <t>Queenswood</t>
        </is>
      </c>
      <c r="B18" s="200">
        <f>'24 - 30 May 2021'!D18</f>
        <v/>
      </c>
      <c r="C18" s="73" t="n">
        <v>152760.03</v>
      </c>
      <c r="D18" s="145" t="n">
        <v>119243.86</v>
      </c>
      <c r="E18" s="145" t="n">
        <v>107285.32</v>
      </c>
      <c r="F18" s="163">
        <f>IFERROR((SUM(D18-C18)/C18),0)</f>
        <v/>
      </c>
      <c r="G18" s="155">
        <f>IFERROR((SUM(D18-B18)/B18),0)</f>
        <v/>
      </c>
      <c r="H18" s="150" t="n">
        <v>490</v>
      </c>
      <c r="I18" s="258">
        <f>IFERROR(D18/H18,0)</f>
        <v/>
      </c>
      <c r="J18" s="61" t="n">
        <v>74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</f>
        <v/>
      </c>
      <c r="M18" s="172">
        <f>IFERROR(L18/SUM(H18),0)</f>
        <v/>
      </c>
      <c r="N18" s="260" t="n">
        <v>24270.54</v>
      </c>
      <c r="O18" s="89">
        <f>SUM(N18/D18)</f>
        <v/>
      </c>
      <c r="P18" s="260" t="n">
        <v>11452.66</v>
      </c>
      <c r="Q18" s="89">
        <f>SUM(P18/D18)</f>
        <v/>
      </c>
      <c r="R18" s="130" t="n">
        <v>5301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</f>
        <v/>
      </c>
      <c r="C4" s="135">
        <f>SUM(C6:C19)-C14-C19</f>
        <v/>
      </c>
      <c r="D4" s="142">
        <f>SUM(D6:D19)-D19</f>
        <v/>
      </c>
      <c r="E4" s="142">
        <f>SUM(E6:E19)-E19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'31 May - 6 June 2021'!D6</f>
        <v/>
      </c>
      <c r="C6" s="255" t="n">
        <v>236155.67</v>
      </c>
      <c r="D6" s="197" t="n">
        <v>159835.8</v>
      </c>
      <c r="E6" s="129" t="n">
        <v>329335.06</v>
      </c>
      <c r="F6" s="162">
        <f>IFERROR((SUM(D6-C6)/C6),0)</f>
        <v/>
      </c>
      <c r="G6" s="154">
        <f>IFERROR((SUM(D6-B6)/B6),0)</f>
        <v/>
      </c>
      <c r="H6" s="149" t="n">
        <v>560</v>
      </c>
      <c r="I6" s="256">
        <f>IFERROR(D6/H6,0)</f>
        <v/>
      </c>
      <c r="J6" s="125" t="n">
        <v>27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</f>
        <v/>
      </c>
      <c r="M6" s="171">
        <f>IFERROR(L6/SUM(H6),0)</f>
        <v/>
      </c>
      <c r="N6" s="259" t="n">
        <v>46373.85</v>
      </c>
      <c r="O6" s="128">
        <f>SUM(N6/D6)</f>
        <v/>
      </c>
      <c r="P6" s="260" t="n">
        <v>916.91</v>
      </c>
      <c r="Q6" s="128">
        <f>SUM(P6/D6)</f>
        <v/>
      </c>
      <c r="R6" s="129" t="n">
        <v>4907.5</v>
      </c>
      <c r="S6" s="26" t="n"/>
    </row>
    <row r="7" ht="15.6" customHeight="1">
      <c r="A7" s="409" t="inlineStr">
        <is>
          <t>Melrose Arch</t>
        </is>
      </c>
      <c r="B7" s="200">
        <f>'31 May - 6 June 2021'!D7</f>
        <v/>
      </c>
      <c r="C7" s="73" t="n">
        <v>218653.28</v>
      </c>
      <c r="D7" s="145" t="n">
        <v>119124.17</v>
      </c>
      <c r="E7" s="145" t="n">
        <v>247660.64</v>
      </c>
      <c r="F7" s="163">
        <f>IFERROR((SUM(D7-C7)/C7),0)</f>
        <v/>
      </c>
      <c r="G7" s="155">
        <f>IFERROR((SUM(D7-B7)/B7),0)</f>
        <v/>
      </c>
      <c r="H7" s="150" t="n">
        <v>478</v>
      </c>
      <c r="I7" s="63">
        <f>IFERROR(D7/H7,0)</f>
        <v/>
      </c>
      <c r="J7" s="61" t="n">
        <v>67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</f>
        <v/>
      </c>
      <c r="M7" s="172">
        <f>IFERROR(L7/SUM(H7),0)</f>
        <v/>
      </c>
      <c r="N7" s="260" t="n">
        <v>23640.37</v>
      </c>
      <c r="O7" s="89">
        <f>SUM(N7/D7)</f>
        <v/>
      </c>
      <c r="P7" s="260" t="n">
        <v>8217.57</v>
      </c>
      <c r="Q7" s="89">
        <f>SUM(P7/D7)</f>
        <v/>
      </c>
      <c r="R7" s="130" t="n">
        <v>5940.8</v>
      </c>
      <c r="S7" s="26" t="n"/>
    </row>
    <row r="8" ht="15.6" customHeight="1">
      <c r="A8" s="409" t="inlineStr">
        <is>
          <t>Melville</t>
        </is>
      </c>
      <c r="B8" s="200">
        <f>'31 May - 6 June 2021'!D8</f>
        <v/>
      </c>
      <c r="C8" s="73" t="n">
        <v>110836.84</v>
      </c>
      <c r="D8" s="145" t="n">
        <v>96926.07000000001</v>
      </c>
      <c r="E8" s="145" t="n">
        <v>191134.72</v>
      </c>
      <c r="F8" s="163">
        <f>IFERROR((SUM(D8-C8)/C8),0)</f>
        <v/>
      </c>
      <c r="G8" s="155">
        <f>IFERROR((SUM(D8-B8)/B8),0)</f>
        <v/>
      </c>
      <c r="H8" s="150" t="n">
        <v>396</v>
      </c>
      <c r="I8" s="63">
        <f>IFERROR(D8/H8,0)</f>
        <v/>
      </c>
      <c r="J8" s="61" t="n">
        <v>14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</f>
        <v/>
      </c>
      <c r="M8" s="172">
        <f>IFERROR(L8/SUM(H8),0)</f>
        <v/>
      </c>
      <c r="N8" s="260" t="n">
        <v>36033.17</v>
      </c>
      <c r="O8" s="89">
        <f>SUM(N8/D8)</f>
        <v/>
      </c>
      <c r="P8" s="260" t="n">
        <v>10433.13</v>
      </c>
      <c r="Q8" s="89">
        <f>SUM(P8/D8)</f>
        <v/>
      </c>
      <c r="R8" s="130" t="n">
        <v>2728.95</v>
      </c>
      <c r="S8" s="26" t="n"/>
    </row>
    <row r="9" ht="15.6" customHeight="1">
      <c r="A9" s="409" t="inlineStr">
        <is>
          <t>Rosebank</t>
        </is>
      </c>
      <c r="B9" s="200">
        <f>'31 May - 6 June 2021'!D9</f>
        <v/>
      </c>
      <c r="C9" s="73" t="n">
        <v>274238.72</v>
      </c>
      <c r="D9" s="145" t="n">
        <v>149259.91</v>
      </c>
      <c r="E9" s="145" t="n">
        <v>284672.81</v>
      </c>
      <c r="F9" s="163">
        <f>IFERROR((SUM(D9-C9)/C9),0)</f>
        <v/>
      </c>
      <c r="G9" s="155">
        <f>IFERROR((SUM(D9-B9)/B9),0)</f>
        <v/>
      </c>
      <c r="H9" s="150" t="n">
        <v>620</v>
      </c>
      <c r="I9" s="63">
        <f>IFERROR(D9/H9,0)</f>
        <v/>
      </c>
      <c r="J9" s="61" t="n">
        <v>49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</f>
        <v/>
      </c>
      <c r="M9" s="172">
        <f>IFERROR(L9/SUM(H9),0)</f>
        <v/>
      </c>
      <c r="N9" s="260" t="n">
        <v>25558.27</v>
      </c>
      <c r="O9" s="89">
        <f>SUM(N9/D9)</f>
        <v/>
      </c>
      <c r="P9" s="260" t="n">
        <v>11428.57</v>
      </c>
      <c r="Q9" s="89">
        <f>SUM(P9/D9)</f>
        <v/>
      </c>
      <c r="R9" s="130" t="n">
        <v>8139.5</v>
      </c>
      <c r="S9" s="26" t="n"/>
    </row>
    <row r="10" ht="15.6" customHeight="1">
      <c r="A10" s="411" t="inlineStr">
        <is>
          <t xml:space="preserve">Waterkloof </t>
        </is>
      </c>
      <c r="B10" s="200">
        <f>'31 May - 6 June 2021'!D10</f>
        <v/>
      </c>
      <c r="C10" s="73" t="n">
        <v>143400.2</v>
      </c>
      <c r="D10" s="145" t="n">
        <v>9206.860000000001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36</v>
      </c>
      <c r="I10" s="63">
        <f>IFERROR(D10/H10,0)</f>
        <v/>
      </c>
      <c r="J10" s="61" t="n">
        <v>4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</f>
        <v/>
      </c>
      <c r="M10" s="172">
        <f>IFERROR(L10/SUM(H10),0)</f>
        <v/>
      </c>
      <c r="N10" s="260" t="n">
        <v>2764.96</v>
      </c>
      <c r="O10" s="89">
        <f>SUM(N10/D10)</f>
        <v/>
      </c>
      <c r="P10" s="260" t="n">
        <v>1191.95</v>
      </c>
      <c r="Q10" s="89">
        <f>SUM(P10/D10)</f>
        <v/>
      </c>
      <c r="R10" s="130" t="n">
        <v>163</v>
      </c>
      <c r="S10" s="26" t="n"/>
    </row>
    <row r="11" ht="15.6" customHeight="1">
      <c r="A11" s="409" t="inlineStr">
        <is>
          <t>Eagles Landing</t>
        </is>
      </c>
      <c r="B11" s="200">
        <f>'31 May - 6 June 2021'!D11</f>
        <v/>
      </c>
      <c r="C11" s="73" t="n">
        <v>345738.87</v>
      </c>
      <c r="D11" s="145" t="n">
        <v>222935.03</v>
      </c>
      <c r="E11" s="145" t="n">
        <v>469682.17</v>
      </c>
      <c r="F11" s="163">
        <f>IFERROR((SUM(D11-C11)/C11),0)</f>
        <v/>
      </c>
      <c r="G11" s="155">
        <f>IFERROR((SUM(D11-B11)/B11),0)</f>
        <v/>
      </c>
      <c r="H11" s="150" t="n">
        <v>834</v>
      </c>
      <c r="I11" s="63">
        <f>IFERROR(D11/H11,0)</f>
        <v/>
      </c>
      <c r="J11" s="61" t="n">
        <v>85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</f>
        <v/>
      </c>
      <c r="M11" s="172">
        <f>IFERROR(L11/SUM(H11),0)</f>
        <v/>
      </c>
      <c r="N11" s="260" t="n">
        <v>41714.09</v>
      </c>
      <c r="O11" s="89">
        <f>SUM(N11/D11)</f>
        <v/>
      </c>
      <c r="P11" s="260" t="n">
        <v>19060.87</v>
      </c>
      <c r="Q11" s="89">
        <f>SUM(P11/D11)</f>
        <v/>
      </c>
      <c r="R11" s="130" t="n">
        <v>11808.4</v>
      </c>
      <c r="S11" s="26" t="n"/>
    </row>
    <row r="12" ht="15.6" customHeight="1">
      <c r="A12" s="198" t="inlineStr">
        <is>
          <t>Stellenbosch</t>
        </is>
      </c>
      <c r="B12" s="200">
        <f>'31 May - 6 June 2021'!D12</f>
        <v/>
      </c>
      <c r="C12" s="73" t="n">
        <v>139419.05</v>
      </c>
      <c r="D12" s="145" t="n">
        <v>95672.92999999999</v>
      </c>
      <c r="E12" s="145" t="n">
        <v>202895.6</v>
      </c>
      <c r="F12" s="163">
        <f>IFERROR((SUM(D12-C12)/C12),0)</f>
        <v/>
      </c>
      <c r="G12" s="155">
        <f>IFERROR((SUM(D12-B12)/B12),0)</f>
        <v/>
      </c>
      <c r="H12" s="150" t="n">
        <v>381</v>
      </c>
      <c r="I12" s="63">
        <f>IFERROR(D12/H12,0)</f>
        <v/>
      </c>
      <c r="J12" s="61" t="n">
        <v>45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</f>
        <v/>
      </c>
      <c r="M12" s="172">
        <f>IFERROR(L12/SUM(H12),0)</f>
        <v/>
      </c>
      <c r="N12" s="260" t="n">
        <v>17790.83</v>
      </c>
      <c r="O12" s="89">
        <f>SUM(N12/D12)</f>
        <v/>
      </c>
      <c r="P12" s="260" t="n">
        <v>7266.95</v>
      </c>
      <c r="Q12" s="89">
        <f>SUM(P12/D12)</f>
        <v/>
      </c>
      <c r="R12" s="130" t="n">
        <v>8034.4</v>
      </c>
      <c r="S12" s="26" t="n"/>
    </row>
    <row r="13" ht="15.6" customHeight="1">
      <c r="A13" s="198" t="inlineStr">
        <is>
          <t>Lynnwood</t>
        </is>
      </c>
      <c r="B13" s="200">
        <f>'31 May - 6 June 2021'!D13</f>
        <v/>
      </c>
      <c r="C13" s="73" t="n">
        <v>208358.17</v>
      </c>
      <c r="D13" s="145" t="n">
        <v>159408.99</v>
      </c>
      <c r="E13" s="145" t="n">
        <v>313895.89</v>
      </c>
      <c r="F13" s="163">
        <f>IFERROR((SUM(D13-C13)/C13),0)</f>
        <v/>
      </c>
      <c r="G13" s="155">
        <f>IFERROR((SUM(D13-B13)/B13),0)</f>
        <v/>
      </c>
      <c r="H13" s="150" t="n">
        <v>612</v>
      </c>
      <c r="I13" s="63">
        <f>IFERROR(D13/H13,0)</f>
        <v/>
      </c>
      <c r="J13" s="61" t="n">
        <v>68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</f>
        <v/>
      </c>
      <c r="M13" s="172">
        <f>IFERROR(L13/SUM(H13),0)</f>
        <v/>
      </c>
      <c r="N13" s="260" t="n">
        <v>27588.86</v>
      </c>
      <c r="O13" s="89">
        <f>SUM(N13/D13)</f>
        <v/>
      </c>
      <c r="P13" s="260" t="n">
        <v>26883.38</v>
      </c>
      <c r="Q13" s="89">
        <f>SUM(P13/D13)</f>
        <v/>
      </c>
      <c r="R13" s="130" t="n">
        <v>2447</v>
      </c>
      <c r="S13" s="26" t="n"/>
    </row>
    <row r="14" hidden="1" ht="15.6" customHeight="1">
      <c r="A14" s="198" t="inlineStr">
        <is>
          <t>Wellington</t>
        </is>
      </c>
      <c r="B14" s="200">
        <f>'31 May - 6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'31 May - 6 June 2021'!D15</f>
        <v/>
      </c>
      <c r="C15" s="73" t="n">
        <v>170108.44</v>
      </c>
      <c r="D15" s="145" t="n">
        <v>140721.15</v>
      </c>
      <c r="E15" s="145" t="n">
        <v>251623.38</v>
      </c>
      <c r="F15" s="163">
        <f>IFERROR((SUM(D15-C15)/C15),0)</f>
        <v/>
      </c>
      <c r="G15" s="155">
        <f>IFERROR((SUM(D15-B15)/B15),0)</f>
        <v/>
      </c>
      <c r="H15" s="150" t="n">
        <v>480</v>
      </c>
      <c r="I15" s="63">
        <f>IFERROR(D15/H15,0)</f>
        <v/>
      </c>
      <c r="J15" s="61" t="n">
        <v>57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13463.48</v>
      </c>
      <c r="Q15" s="89">
        <f>SUM(P15/D15)</f>
        <v/>
      </c>
      <c r="R15" s="130" t="n">
        <v>3259.8</v>
      </c>
      <c r="S15" s="9" t="n"/>
    </row>
    <row r="16" ht="15.6" customHeight="1">
      <c r="A16" s="198" t="inlineStr">
        <is>
          <t>Kyalami Corner</t>
        </is>
      </c>
      <c r="B16" s="200">
        <f>'31 May - 6 June 2021'!D16</f>
        <v/>
      </c>
      <c r="C16" s="73" t="n">
        <v>115659.7</v>
      </c>
      <c r="D16" s="145" t="n">
        <v>118362.03</v>
      </c>
      <c r="E16" s="145" t="n">
        <v>220075.36</v>
      </c>
      <c r="F16" s="163">
        <f>IFERROR((SUM(D16-C16)/C16),0)</f>
        <v/>
      </c>
      <c r="G16" s="155">
        <f>IFERROR((SUM(D16-B16)/B16),0)</f>
        <v/>
      </c>
      <c r="H16" s="150" t="n">
        <v>459</v>
      </c>
      <c r="I16" s="63">
        <f>IFERROR(D16/H16,0)</f>
        <v/>
      </c>
      <c r="J16" s="61" t="n">
        <v>32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</f>
        <v/>
      </c>
      <c r="M16" s="172">
        <f>IFERROR(L16/SUM(H16),0)</f>
        <v/>
      </c>
      <c r="N16" s="260" t="n">
        <v>30512.13</v>
      </c>
      <c r="O16" s="89">
        <f>SUM(N16/D16)</f>
        <v/>
      </c>
      <c r="P16" s="260" t="n">
        <v>20376.3</v>
      </c>
      <c r="Q16" s="89">
        <f>SUM(P16/D16)</f>
        <v/>
      </c>
      <c r="R16" s="130" t="n">
        <v>4248</v>
      </c>
      <c r="S16" s="9" t="n"/>
      <c r="V16" s="238" t="n"/>
    </row>
    <row r="17" ht="15.6" customHeight="1">
      <c r="A17" s="251" t="inlineStr">
        <is>
          <t>Paulshof</t>
        </is>
      </c>
      <c r="B17" s="200">
        <f>'31 May - 6 June 2021'!D17</f>
        <v/>
      </c>
      <c r="C17" s="73" t="n">
        <v>183813.79</v>
      </c>
      <c r="D17" s="145" t="n">
        <v>134885.61</v>
      </c>
      <c r="E17" s="145" t="n">
        <v>290941.86</v>
      </c>
      <c r="F17" s="163">
        <f>IFERROR((SUM(D17-C17)/C17),0)</f>
        <v/>
      </c>
      <c r="G17" s="155">
        <f>IFERROR((SUM(D17-B17)/B17),0)</f>
        <v/>
      </c>
      <c r="H17" s="150" t="n">
        <v>531</v>
      </c>
      <c r="I17" s="63">
        <f>IFERROR(D17/H17,0)</f>
        <v/>
      </c>
      <c r="J17" s="61" t="n">
        <v>89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</f>
        <v/>
      </c>
      <c r="M17" s="172">
        <f>IFERROR(L17/SUM(H17),0)</f>
        <v/>
      </c>
      <c r="N17" s="260" t="n">
        <v>20568.43</v>
      </c>
      <c r="O17" s="89">
        <f>SUM(N17/D17)</f>
        <v/>
      </c>
      <c r="P17" s="260" t="n">
        <v>12243.14</v>
      </c>
      <c r="Q17" s="89">
        <f>SUM(P17/D17)</f>
        <v/>
      </c>
      <c r="R17" s="130" t="n">
        <v>4580.75</v>
      </c>
      <c r="S17" s="9" t="n"/>
    </row>
    <row r="18" ht="15.6" customHeight="1">
      <c r="A18" s="198" t="inlineStr">
        <is>
          <t>Queenswood</t>
        </is>
      </c>
      <c r="B18" s="200">
        <f>'31 May - 6 June 2021'!D18</f>
        <v/>
      </c>
      <c r="C18" s="73" t="n">
        <v>169068.42</v>
      </c>
      <c r="D18" s="145" t="n">
        <v>121244.88</v>
      </c>
      <c r="E18" s="145" t="n">
        <v>228530.2</v>
      </c>
      <c r="F18" s="163">
        <f>IFERROR((SUM(D18-C18)/C18),0)</f>
        <v/>
      </c>
      <c r="G18" s="155">
        <f>IFERROR((SUM(D18-B18)/B18),0)</f>
        <v/>
      </c>
      <c r="H18" s="150" t="n">
        <v>506</v>
      </c>
      <c r="I18" s="258">
        <f>IFERROR(D18/H18,0)</f>
        <v/>
      </c>
      <c r="J18" s="61" t="n">
        <v>81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</f>
        <v/>
      </c>
      <c r="M18" s="172">
        <f>IFERROR(L18/SUM(H18),0)</f>
        <v/>
      </c>
      <c r="N18" s="260" t="n">
        <v>26060.3</v>
      </c>
      <c r="O18" s="89">
        <f>SUM(N18/D18)</f>
        <v/>
      </c>
      <c r="P18" s="260" t="n">
        <v>18336.07</v>
      </c>
      <c r="Q18" s="89">
        <f>SUM(P18/D18)</f>
        <v/>
      </c>
      <c r="R18" s="130" t="n">
        <v>3953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47.4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'7 - 13 June 2021'!D6</f>
        <v/>
      </c>
      <c r="C6" s="255" t="n">
        <v>250573.07</v>
      </c>
      <c r="D6" s="197" t="n">
        <v>172041.05</v>
      </c>
      <c r="E6" s="129" t="n">
        <v>501376.11</v>
      </c>
      <c r="F6" s="162">
        <f>IFERROR((SUM(D6-C6)/C6),0)</f>
        <v/>
      </c>
      <c r="G6" s="154">
        <f>IFERROR((SUM(D6-B6)/B6),0)</f>
        <v/>
      </c>
      <c r="H6" s="149" t="n">
        <v>604</v>
      </c>
      <c r="I6" s="256">
        <f>IFERROR(D6/H6,0)</f>
        <v/>
      </c>
      <c r="J6" s="125" t="n">
        <v>14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</f>
        <v/>
      </c>
      <c r="M6" s="171">
        <f>IFERROR(L6/SUM(H6),0)</f>
        <v/>
      </c>
      <c r="N6" s="259" t="n">
        <v>42910.25</v>
      </c>
      <c r="O6" s="128">
        <f>SUM(N6/D6)</f>
        <v/>
      </c>
      <c r="P6" s="260" t="n">
        <v>1499.91</v>
      </c>
      <c r="Q6" s="128">
        <f>SUM(P6/D6)</f>
        <v/>
      </c>
      <c r="R6" s="129" t="n">
        <v>9381.82</v>
      </c>
      <c r="S6" s="26" t="n"/>
    </row>
    <row r="7" ht="15.6" customHeight="1">
      <c r="A7" s="409" t="inlineStr">
        <is>
          <t>Melrose Arch</t>
        </is>
      </c>
      <c r="B7" s="200">
        <f>'7 - 13 June 2021'!D7</f>
        <v/>
      </c>
      <c r="C7" s="73" t="n">
        <v>248168.49</v>
      </c>
      <c r="D7" s="145" t="n">
        <v>112438.92</v>
      </c>
      <c r="E7" s="145" t="n">
        <v>360099.56</v>
      </c>
      <c r="F7" s="163">
        <f>IFERROR((SUM(D7-C7)/C7),0)</f>
        <v/>
      </c>
      <c r="G7" s="155">
        <f>IFERROR((SUM(D7-B7)/B7),0)</f>
        <v/>
      </c>
      <c r="H7" s="150" t="n">
        <v>417</v>
      </c>
      <c r="I7" s="63">
        <f>IFERROR(D7/H7,0)</f>
        <v/>
      </c>
      <c r="J7" s="61" t="n">
        <v>25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</f>
        <v/>
      </c>
      <c r="M7" s="172">
        <f>IFERROR(L7/SUM(H7),0)</f>
        <v/>
      </c>
      <c r="N7" s="260" t="n">
        <v>26774.36</v>
      </c>
      <c r="O7" s="89">
        <f>SUM(N7/D7)</f>
        <v/>
      </c>
      <c r="P7" s="260" t="n">
        <v>7192.61</v>
      </c>
      <c r="Q7" s="89">
        <f>SUM(P7/D7)</f>
        <v/>
      </c>
      <c r="R7" s="130" t="n">
        <v>5302.35</v>
      </c>
      <c r="S7" s="26" t="n"/>
    </row>
    <row r="8" ht="15.6" customHeight="1">
      <c r="A8" s="409" t="inlineStr">
        <is>
          <t>Melville</t>
        </is>
      </c>
      <c r="B8" s="200">
        <f>'7 - 13 June 2021'!D8</f>
        <v/>
      </c>
      <c r="C8" s="73" t="n">
        <v>99413.99000000001</v>
      </c>
      <c r="D8" s="145" t="n">
        <v>93597.64</v>
      </c>
      <c r="E8" s="145" t="n">
        <v>284732.36</v>
      </c>
      <c r="F8" s="163">
        <f>IFERROR((SUM(D8-C8)/C8),0)</f>
        <v/>
      </c>
      <c r="G8" s="155">
        <f>IFERROR((SUM(D8-B8)/B8),0)</f>
        <v/>
      </c>
      <c r="H8" s="150" t="n">
        <v>385</v>
      </c>
      <c r="I8" s="63">
        <f>IFERROR(D8/H8,0)</f>
        <v/>
      </c>
      <c r="J8" s="61" t="n">
        <v>17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</f>
        <v/>
      </c>
      <c r="M8" s="172">
        <f>IFERROR(L8/SUM(H8),0)</f>
        <v/>
      </c>
      <c r="N8" s="260" t="n">
        <v>36136.69</v>
      </c>
      <c r="O8" s="89">
        <f>SUM(N8/D8)</f>
        <v/>
      </c>
      <c r="P8" s="260" t="n">
        <v>10209.15</v>
      </c>
      <c r="Q8" s="89">
        <f>SUM(P8/D8)</f>
        <v/>
      </c>
      <c r="R8" s="130" t="n">
        <v>2970</v>
      </c>
      <c r="S8" s="26" t="n"/>
    </row>
    <row r="9" ht="15.6" customHeight="1">
      <c r="A9" s="409" t="inlineStr">
        <is>
          <t>Rosebank</t>
        </is>
      </c>
      <c r="B9" s="200">
        <f>'7 - 13 June 2021'!D9</f>
        <v/>
      </c>
      <c r="C9" s="73" t="n">
        <v>303531.06</v>
      </c>
      <c r="D9" s="145" t="n">
        <v>135128.66</v>
      </c>
      <c r="E9" s="145" t="n">
        <v>419801.47</v>
      </c>
      <c r="F9" s="163">
        <f>IFERROR((SUM(D9-C9)/C9),0)</f>
        <v/>
      </c>
      <c r="G9" s="155">
        <f>IFERROR((SUM(D9-B9)/B9),0)</f>
        <v/>
      </c>
      <c r="H9" s="150" t="n">
        <v>546</v>
      </c>
      <c r="I9" s="63">
        <f>IFERROR(D9/H9,0)</f>
        <v/>
      </c>
      <c r="J9" s="61" t="n">
        <v>24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</f>
        <v/>
      </c>
      <c r="M9" s="172">
        <f>IFERROR(L9/SUM(H9),0)</f>
        <v/>
      </c>
      <c r="N9" s="260" t="n">
        <v>16206.45</v>
      </c>
      <c r="O9" s="89">
        <f>SUM(N9/D9)</f>
        <v/>
      </c>
      <c r="P9" s="260" t="n">
        <v>11675.57</v>
      </c>
      <c r="Q9" s="89">
        <f>SUM(P9/D9)</f>
        <v/>
      </c>
      <c r="R9" s="130" t="n">
        <v>10873.9</v>
      </c>
      <c r="S9" s="26" t="n"/>
    </row>
    <row r="10" ht="15.6" customHeight="1">
      <c r="A10" s="411" t="inlineStr">
        <is>
          <t xml:space="preserve">Waterkloof </t>
        </is>
      </c>
      <c r="B10" s="200">
        <f>'7 - 13 June 2021'!D10</f>
        <v/>
      </c>
      <c r="C10" s="73" t="n">
        <v>148386.36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'7 - 13 June 2021'!D11</f>
        <v/>
      </c>
      <c r="C11" s="73" t="n">
        <v>350406.82</v>
      </c>
      <c r="D11" s="145" t="n">
        <v>198333.11</v>
      </c>
      <c r="E11" s="145" t="n">
        <v>668015.28</v>
      </c>
      <c r="F11" s="163">
        <f>IFERROR((SUM(D11-C11)/C11),0)</f>
        <v/>
      </c>
      <c r="G11" s="155">
        <f>IFERROR((SUM(D11-B11)/B11),0)</f>
        <v/>
      </c>
      <c r="H11" s="150" t="n">
        <v>755</v>
      </c>
      <c r="I11" s="63">
        <f>IFERROR(D11/H11,0)</f>
        <v/>
      </c>
      <c r="J11" s="61" t="n">
        <v>59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/>
      </c>
      <c r="M11" s="172">
        <f>IFERROR(L11/SUM(H11),0)</f>
        <v/>
      </c>
      <c r="N11" s="260" t="n">
        <v>37878.8</v>
      </c>
      <c r="O11" s="89">
        <f>SUM(N11/D11)</f>
        <v/>
      </c>
      <c r="P11" s="260" t="n">
        <v>19877.83</v>
      </c>
      <c r="Q11" s="89">
        <f>SUM(P11/D11)</f>
        <v/>
      </c>
      <c r="R11" s="130" t="n">
        <v>12329.9</v>
      </c>
      <c r="S11" s="26" t="n"/>
    </row>
    <row r="12" ht="15.6" customHeight="1">
      <c r="A12" s="198" t="inlineStr">
        <is>
          <t>Stellenbosch</t>
        </is>
      </c>
      <c r="B12" s="200">
        <f>'7 - 13 June 2021'!D12</f>
        <v/>
      </c>
      <c r="C12" s="73" t="n">
        <v>137174.82</v>
      </c>
      <c r="D12" s="145" t="n">
        <v>90987.89</v>
      </c>
      <c r="E12" s="145" t="n">
        <v>293883.49</v>
      </c>
      <c r="F12" s="163">
        <f>IFERROR((SUM(D12-C12)/C12),0)</f>
        <v/>
      </c>
      <c r="G12" s="155">
        <f>IFERROR((SUM(D12-B12)/B12),0)</f>
        <v/>
      </c>
      <c r="H12" s="150" t="n">
        <v>346</v>
      </c>
      <c r="I12" s="63">
        <f>IFERROR(D12/H12,0)</f>
        <v/>
      </c>
      <c r="J12" s="61" t="n">
        <v>39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/>
      </c>
      <c r="M12" s="172">
        <f>IFERROR(L12/SUM(H12),0)</f>
        <v/>
      </c>
      <c r="N12" s="260" t="n">
        <v>15129.13</v>
      </c>
      <c r="O12" s="89">
        <f>SUM(N12/D12)</f>
        <v/>
      </c>
      <c r="P12" s="260" t="n">
        <v>5906.4</v>
      </c>
      <c r="Q12" s="89">
        <f>SUM(P12/D12)</f>
        <v/>
      </c>
      <c r="R12" s="130" t="n">
        <v>6371.85</v>
      </c>
      <c r="S12" s="26" t="n"/>
    </row>
    <row r="13" ht="15.6" customHeight="1">
      <c r="A13" s="198" t="inlineStr">
        <is>
          <t>Lynnwood</t>
        </is>
      </c>
      <c r="B13" s="200">
        <f>'7 - 13 June 2021'!D13</f>
        <v/>
      </c>
      <c r="C13" s="73" t="n">
        <v>203275.18</v>
      </c>
      <c r="D13" s="145" t="n">
        <v>152472.51</v>
      </c>
      <c r="E13" s="145" t="n">
        <v>466366.39</v>
      </c>
      <c r="F13" s="163">
        <f>IFERROR((SUM(D13-C13)/C13),0)</f>
        <v/>
      </c>
      <c r="G13" s="155">
        <f>IFERROR((SUM(D13-B13)/B13),0)</f>
        <v/>
      </c>
      <c r="H13" s="150" t="n">
        <v>620</v>
      </c>
      <c r="I13" s="63">
        <f>IFERROR(D13/H13,0)</f>
        <v/>
      </c>
      <c r="J13" s="61" t="n">
        <v>56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/>
      </c>
      <c r="M13" s="172">
        <f>IFERROR(L13/SUM(H13),0)</f>
        <v/>
      </c>
      <c r="N13" s="260" t="n">
        <v>35873.72</v>
      </c>
      <c r="O13" s="89">
        <f>SUM(N13/D13)</f>
        <v/>
      </c>
      <c r="P13" s="260" t="n">
        <v>29684.71</v>
      </c>
      <c r="Q13" s="89">
        <f>SUM(P13/D13)</f>
        <v/>
      </c>
      <c r="R13" s="130" t="n">
        <v>4132.5</v>
      </c>
      <c r="S13" s="26" t="n"/>
    </row>
    <row r="14" hidden="1" ht="15.6" customHeight="1">
      <c r="A14" s="198" t="inlineStr">
        <is>
          <t>Wellington</t>
        </is>
      </c>
      <c r="B14" s="200">
        <f>'7 - 13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'7 - 13 June 2021'!D15</f>
        <v/>
      </c>
      <c r="C15" s="73" t="n">
        <v>204166.38</v>
      </c>
      <c r="D15" s="145" t="n">
        <v>151189.84</v>
      </c>
      <c r="E15" s="145" t="n">
        <v>402813.22</v>
      </c>
      <c r="F15" s="163">
        <f>IFERROR((SUM(D15-C15)/C15),0)</f>
        <v/>
      </c>
      <c r="G15" s="155">
        <f>IFERROR((SUM(D15-B15)/B15),0)</f>
        <v/>
      </c>
      <c r="H15" s="150" t="n">
        <v>520</v>
      </c>
      <c r="I15" s="63">
        <f>IFERROR(D15/H15,0)</f>
        <v/>
      </c>
      <c r="J15" s="61" t="n">
        <v>45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17838.26</v>
      </c>
      <c r="Q15" s="89">
        <f>SUM(P15/D15)</f>
        <v/>
      </c>
      <c r="R15" s="130" t="n">
        <v>4596.35</v>
      </c>
      <c r="S15" s="9" t="n"/>
    </row>
    <row r="16" ht="15.6" customHeight="1">
      <c r="A16" s="198" t="inlineStr">
        <is>
          <t>Kyalami Corner</t>
        </is>
      </c>
      <c r="B16" s="200">
        <f>'7 - 13 June 2021'!D16</f>
        <v/>
      </c>
      <c r="C16" s="73" t="n">
        <v>119243.42</v>
      </c>
      <c r="D16" s="145" t="n">
        <v>104993.53</v>
      </c>
      <c r="E16" s="145" t="n">
        <v>325068.89</v>
      </c>
      <c r="F16" s="163">
        <f>IFERROR((SUM(D16-C16)/C16),0)</f>
        <v/>
      </c>
      <c r="G16" s="155">
        <f>IFERROR((SUM(D16-B16)/B16),0)</f>
        <v/>
      </c>
      <c r="H16" s="150" t="n">
        <v>405</v>
      </c>
      <c r="I16" s="63">
        <f>IFERROR(D16/H16,0)</f>
        <v/>
      </c>
      <c r="J16" s="61" t="n">
        <v>16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/>
      </c>
      <c r="M16" s="172">
        <f>IFERROR(L16/SUM(H16),0)</f>
        <v/>
      </c>
      <c r="N16" s="260" t="n">
        <v>28510.83</v>
      </c>
      <c r="O16" s="89">
        <f>SUM(N16/D16)</f>
        <v/>
      </c>
      <c r="P16" s="260" t="n">
        <v>15593.39</v>
      </c>
      <c r="Q16" s="89">
        <f>SUM(P16/D16)</f>
        <v/>
      </c>
      <c r="R16" s="130" t="n">
        <v>6023.35</v>
      </c>
      <c r="S16" s="9" t="n"/>
      <c r="V16" s="238" t="n"/>
    </row>
    <row r="17" ht="15.6" customHeight="1">
      <c r="A17" s="251" t="inlineStr">
        <is>
          <t>Paulshof</t>
        </is>
      </c>
      <c r="B17" s="200">
        <f>'7 - 13 June 2021'!D17</f>
        <v/>
      </c>
      <c r="C17" s="73" t="n">
        <v>193070.24</v>
      </c>
      <c r="D17" s="145" t="n">
        <v>116056.04</v>
      </c>
      <c r="E17" s="145" t="n">
        <v>406997.9</v>
      </c>
      <c r="F17" s="163">
        <f>IFERROR((SUM(D17-C17)/C17),0)</f>
        <v/>
      </c>
      <c r="G17" s="155">
        <f>IFERROR((SUM(D17-B17)/B17),0)</f>
        <v/>
      </c>
      <c r="H17" s="150" t="n">
        <v>485</v>
      </c>
      <c r="I17" s="63">
        <f>IFERROR(D17/H17,0)</f>
        <v/>
      </c>
      <c r="J17" s="61" t="n">
        <v>40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/>
      </c>
      <c r="M17" s="172">
        <f>IFERROR(L17/SUM(H17),0)</f>
        <v/>
      </c>
      <c r="N17" s="260" t="n">
        <v>28759.76</v>
      </c>
      <c r="O17" s="89">
        <f>SUM(N17/D17)</f>
        <v/>
      </c>
      <c r="P17" s="260" t="n">
        <v>9191</v>
      </c>
      <c r="Q17" s="89">
        <f>SUM(P17/D17)</f>
        <v/>
      </c>
      <c r="R17" s="130" t="n">
        <v>7914.15</v>
      </c>
      <c r="S17" s="9" t="n"/>
    </row>
    <row r="18" ht="15.6" customHeight="1">
      <c r="A18" s="198" t="inlineStr">
        <is>
          <t>Queenswood</t>
        </is>
      </c>
      <c r="B18" s="200">
        <f>'7 - 13 June 2021'!D18</f>
        <v/>
      </c>
      <c r="C18" s="73" t="n">
        <v>145702.12</v>
      </c>
      <c r="D18" s="145" t="n">
        <v>134734.75</v>
      </c>
      <c r="E18" s="145" t="n">
        <v>363264.95</v>
      </c>
      <c r="F18" s="163">
        <f>IFERROR((SUM(D18-C18)/C18),0)</f>
        <v/>
      </c>
      <c r="G18" s="155">
        <f>IFERROR((SUM(D18-B18)/B18),0)</f>
        <v/>
      </c>
      <c r="H18" s="150" t="n">
        <v>541</v>
      </c>
      <c r="I18" s="258">
        <f>IFERROR(D18/H18,0)</f>
        <v/>
      </c>
      <c r="J18" s="61" t="n">
        <v>95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/>
      </c>
      <c r="M18" s="172">
        <f>IFERROR(L18/SUM(H18),0)</f>
        <v/>
      </c>
      <c r="N18" s="260" t="n">
        <v>26932.03</v>
      </c>
      <c r="O18" s="89">
        <f>SUM(N18/D18)</f>
        <v/>
      </c>
      <c r="P18" s="260" t="n">
        <v>18957.23</v>
      </c>
      <c r="Q18" s="89">
        <f>SUM(P18/D18)</f>
        <v/>
      </c>
      <c r="R18" s="130" t="n">
        <v>4520.35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C19">
    <cfRule type="cellIs" priority="10" operator="equal" dxfId="0">
      <formula>0</formula>
    </cfRule>
  </conditionalFormatting>
  <conditionalFormatting sqref="D7:E19">
    <cfRule type="cellIs" priority="2" operator="equal" dxfId="0">
      <formula>0</formula>
    </cfRule>
  </conditionalFormatting>
  <conditionalFormatting sqref="F6:R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0" t="inlineStr">
        <is>
          <t>% to LY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'14 - 20 June 2021'!D6</f>
        <v/>
      </c>
      <c r="C6" s="255" t="n">
        <v>271223.01</v>
      </c>
      <c r="D6" s="197" t="n">
        <v>132613.41</v>
      </c>
      <c r="E6" s="129" t="n">
        <v>633989.52</v>
      </c>
      <c r="F6" s="162">
        <f>IFERROR((SUM(D6-C6)/C6),0)</f>
        <v/>
      </c>
      <c r="G6" s="154">
        <f>IFERROR((SUM(D6-B6)/B6),0)</f>
        <v/>
      </c>
      <c r="H6" s="149" t="n">
        <v>495</v>
      </c>
      <c r="I6" s="63">
        <f>IFERROR(D6/H6,0)</f>
        <v/>
      </c>
      <c r="J6" s="125" t="n">
        <v>35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/>
      </c>
      <c r="M6" s="171">
        <f>IFERROR(L6/SUM(H6),0)</f>
        <v/>
      </c>
      <c r="N6" s="259" t="n">
        <v>47266.48</v>
      </c>
      <c r="O6" s="128">
        <f>SUM(N6/D6)</f>
        <v/>
      </c>
      <c r="P6" s="260" t="n">
        <v>0</v>
      </c>
      <c r="Q6" s="128">
        <f>SUM(P6/D6)</f>
        <v/>
      </c>
      <c r="R6" s="129" t="n">
        <v>5757.5</v>
      </c>
      <c r="S6" s="26" t="n"/>
    </row>
    <row r="7" ht="15.6" customHeight="1">
      <c r="A7" s="409" t="inlineStr">
        <is>
          <t>Melrose Arch</t>
        </is>
      </c>
      <c r="B7" s="200">
        <f>'14 - 20 June 2021'!D7</f>
        <v/>
      </c>
      <c r="C7" s="73" t="n">
        <v>268311.86</v>
      </c>
      <c r="D7" s="145" t="n">
        <v>110299.53</v>
      </c>
      <c r="E7" s="145" t="n">
        <v>470399.09</v>
      </c>
      <c r="F7" s="163">
        <f>IFERROR((SUM(D7-C7)/C7),0)</f>
        <v/>
      </c>
      <c r="G7" s="155">
        <f>IFERROR((SUM(D7-B7)/B7),0)</f>
        <v/>
      </c>
      <c r="H7" s="150" t="n">
        <v>405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/>
      </c>
      <c r="M7" s="172">
        <f>IFERROR(L7/SUM(H7),0)</f>
        <v/>
      </c>
      <c r="N7" s="260" t="n">
        <v>26319.85</v>
      </c>
      <c r="O7" s="89">
        <f>SUM(N7/D7)</f>
        <v/>
      </c>
      <c r="P7" s="260" t="n">
        <v>8864.610000000001</v>
      </c>
      <c r="Q7" s="89">
        <f>SUM(P7/D7)</f>
        <v/>
      </c>
      <c r="R7" s="130" t="n">
        <v>4280.28</v>
      </c>
      <c r="S7" s="26" t="n"/>
    </row>
    <row r="8" ht="15.6" customHeight="1">
      <c r="A8" s="409" t="inlineStr">
        <is>
          <t>Melville</t>
        </is>
      </c>
      <c r="B8" s="200">
        <f>'14 - 20 June 2021'!D8</f>
        <v/>
      </c>
      <c r="C8" s="73" t="n">
        <v>110389.7</v>
      </c>
      <c r="D8" s="145" t="n">
        <v>88716.48</v>
      </c>
      <c r="E8" s="145" t="n">
        <v>373448.84</v>
      </c>
      <c r="F8" s="163">
        <f>IFERROR((SUM(D8-C8)/C8),0)</f>
        <v/>
      </c>
      <c r="G8" s="155">
        <f>IFERROR((SUM(D8-B8)/B8),0)</f>
        <v/>
      </c>
      <c r="H8" s="150" t="n">
        <v>395</v>
      </c>
      <c r="I8" s="63">
        <f>IFERROR(D8/H8,0)</f>
        <v/>
      </c>
      <c r="J8" s="61" t="n">
        <v>7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/>
      </c>
      <c r="M8" s="172">
        <f>IFERROR(L8/SUM(H8),0)</f>
        <v/>
      </c>
      <c r="N8" s="260" t="n">
        <v>33045.97</v>
      </c>
      <c r="O8" s="89">
        <f>SUM(N8/D8)</f>
        <v/>
      </c>
      <c r="P8" s="260" t="n">
        <v>16307.57</v>
      </c>
      <c r="Q8" s="89">
        <f>SUM(P8/D8)</f>
        <v/>
      </c>
      <c r="R8" s="130" t="n">
        <v>3718.55</v>
      </c>
      <c r="S8" s="26" t="n"/>
    </row>
    <row r="9" ht="15.6" customHeight="1">
      <c r="A9" s="409" t="inlineStr">
        <is>
          <t>Rosebank</t>
        </is>
      </c>
      <c r="B9" s="200">
        <f>'14 - 20 June 2021'!D9</f>
        <v/>
      </c>
      <c r="C9" s="73" t="n">
        <v>345874.43</v>
      </c>
      <c r="D9" s="145" t="n">
        <v>121954.48</v>
      </c>
      <c r="E9" s="145" t="n">
        <v>541755.95</v>
      </c>
      <c r="F9" s="163">
        <f>IFERROR((SUM(D9-C9)/C9),0)</f>
        <v/>
      </c>
      <c r="G9" s="155">
        <f>IFERROR((SUM(D9-B9)/B9),0)</f>
        <v/>
      </c>
      <c r="H9" s="150" t="n">
        <v>481</v>
      </c>
      <c r="I9" s="63">
        <f>IFERROR(D9/H9,0)</f>
        <v/>
      </c>
      <c r="J9" s="61" t="n">
        <v>21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/>
      </c>
      <c r="M9" s="172">
        <f>IFERROR(L9/SUM(H9),0)</f>
        <v/>
      </c>
      <c r="N9" s="260" t="n">
        <v>22862.76</v>
      </c>
      <c r="O9" s="89">
        <f>SUM(N9/D9)</f>
        <v/>
      </c>
      <c r="P9" s="260" t="n">
        <v>10695.63</v>
      </c>
      <c r="Q9" s="89">
        <f>SUM(P9/D9)</f>
        <v/>
      </c>
      <c r="R9" s="130" t="n">
        <v>5381.5</v>
      </c>
      <c r="S9" s="26" t="n"/>
    </row>
    <row r="10" ht="15.6" customHeight="1">
      <c r="A10" s="411" t="inlineStr">
        <is>
          <t xml:space="preserve">Waterkloof </t>
        </is>
      </c>
      <c r="B10" s="200">
        <f>'14 - 20 June 2021'!D10</f>
        <v/>
      </c>
      <c r="C10" s="73" t="n">
        <v>153229.93</v>
      </c>
      <c r="D10" s="145" t="n">
        <v>0</v>
      </c>
      <c r="E10" s="145" t="n">
        <v>135632.15</v>
      </c>
      <c r="F10" s="163">
        <f>IFERROR((SUM(D10-C10)/C10),0)</f>
        <v/>
      </c>
      <c r="G10" s="155">
        <f>IFERROR((SUM(D10-B10)/B10),0)</f>
        <v/>
      </c>
      <c r="H10" s="150" t="n">
        <v>0</v>
      </c>
      <c r="I10" s="63">
        <f>IFERROR(D10/H10,0)</f>
        <v/>
      </c>
      <c r="J10" s="61" t="n">
        <v>0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/>
      </c>
      <c r="M10" s="172">
        <f>IFERROR(L10/SUM(H10),0)</f>
        <v/>
      </c>
      <c r="N10" s="260" t="n">
        <v>0</v>
      </c>
      <c r="O10" s="89">
        <f>SUM(N10/D10)</f>
        <v/>
      </c>
      <c r="P10" s="260" t="n">
        <v>0</v>
      </c>
      <c r="Q10" s="89">
        <f>SUM(P10/D10)</f>
        <v/>
      </c>
      <c r="R10" s="130" t="n">
        <v>0</v>
      </c>
      <c r="S10" s="26" t="n"/>
    </row>
    <row r="11" ht="15.6" customHeight="1">
      <c r="A11" s="409" t="inlineStr">
        <is>
          <t>Eagles Landing</t>
        </is>
      </c>
      <c r="B11" s="200">
        <f>'14 - 20 June 2021'!D11</f>
        <v/>
      </c>
      <c r="C11" s="73" t="n">
        <v>385707.8</v>
      </c>
      <c r="D11" s="145" t="n">
        <v>177064.58</v>
      </c>
      <c r="E11" s="145" t="n">
        <v>845079.86</v>
      </c>
      <c r="F11" s="163">
        <f>IFERROR((SUM(D11-C11)/C11),0)</f>
        <v/>
      </c>
      <c r="G11" s="155">
        <f>IFERROR((SUM(D11-B11)/B11),0)</f>
        <v/>
      </c>
      <c r="H11" s="150" t="n">
        <v>669</v>
      </c>
      <c r="I11" s="63">
        <f>IFERROR(D11/H11,0)</f>
        <v/>
      </c>
      <c r="J11" s="61" t="n">
        <v>80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/>
      </c>
      <c r="M11" s="172">
        <f>IFERROR(L11/SUM(H11),0)</f>
        <v/>
      </c>
      <c r="N11" s="260" t="n">
        <v>40023.81</v>
      </c>
      <c r="O11" s="89">
        <f>SUM(N11/D11)</f>
        <v/>
      </c>
      <c r="P11" s="260" t="n">
        <v>23409.83</v>
      </c>
      <c r="Q11" s="89">
        <f>SUM(P11/D11)</f>
        <v/>
      </c>
      <c r="R11" s="130" t="n">
        <v>10923.6</v>
      </c>
      <c r="S11" s="26" t="n"/>
    </row>
    <row r="12" ht="15.6" customHeight="1">
      <c r="A12" s="198" t="inlineStr">
        <is>
          <t>Stellenbosch</t>
        </is>
      </c>
      <c r="B12" s="200">
        <f>'14 - 20 June 2021'!D12</f>
        <v/>
      </c>
      <c r="C12" s="73" t="n">
        <v>124310.04</v>
      </c>
      <c r="D12" s="145" t="n">
        <v>93610.00999999999</v>
      </c>
      <c r="E12" s="145" t="n">
        <v>387493.5</v>
      </c>
      <c r="F12" s="163">
        <f>IFERROR((SUM(D12-C12)/C12),0)</f>
        <v/>
      </c>
      <c r="G12" s="155">
        <f>IFERROR((SUM(D12-B12)/B12),0)</f>
        <v/>
      </c>
      <c r="H12" s="150" t="n">
        <v>328</v>
      </c>
      <c r="I12" s="63">
        <f>IFERROR(D12/H12,0)</f>
        <v/>
      </c>
      <c r="J12" s="61" t="n">
        <v>26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/>
      </c>
      <c r="M12" s="172">
        <f>IFERROR(L12/SUM(H12),0)</f>
        <v/>
      </c>
      <c r="N12" s="260" t="n">
        <v>14993.43</v>
      </c>
      <c r="O12" s="89">
        <f>SUM(N12/D12)</f>
        <v/>
      </c>
      <c r="P12" s="260" t="n">
        <v>11648.7</v>
      </c>
      <c r="Q12" s="89">
        <f>SUM(P12/D12)</f>
        <v/>
      </c>
      <c r="R12" s="130" t="n">
        <v>7038.6</v>
      </c>
      <c r="S12" s="26" t="n"/>
    </row>
    <row r="13" ht="15.6" customHeight="1">
      <c r="A13" s="198" t="inlineStr">
        <is>
          <t>Lynnwood</t>
        </is>
      </c>
      <c r="B13" s="200">
        <f>'14 - 20 June 2021'!D13</f>
        <v/>
      </c>
      <c r="C13" s="73" t="n">
        <v>223653.62</v>
      </c>
      <c r="D13" s="145" t="n">
        <v>151392.86</v>
      </c>
      <c r="E13" s="145" t="n">
        <v>617759.25</v>
      </c>
      <c r="F13" s="163">
        <f>IFERROR((SUM(D13-C13)/C13),0)</f>
        <v/>
      </c>
      <c r="G13" s="155">
        <f>IFERROR((SUM(D13-B13)/B13),0)</f>
        <v/>
      </c>
      <c r="H13" s="150" t="n">
        <v>637</v>
      </c>
      <c r="I13" s="63">
        <f>IFERROR(D13/H13,0)</f>
        <v/>
      </c>
      <c r="J13" s="61" t="n">
        <v>64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/>
      </c>
      <c r="M13" s="172">
        <f>IFERROR(L13/SUM(H13),0)</f>
        <v/>
      </c>
      <c r="N13" s="260" t="n">
        <v>34577.54</v>
      </c>
      <c r="O13" s="89">
        <f>SUM(N13/D13)</f>
        <v/>
      </c>
      <c r="P13" s="260" t="n">
        <v>29640.45</v>
      </c>
      <c r="Q13" s="89">
        <f>SUM(P13/D13)</f>
        <v/>
      </c>
      <c r="R13" s="130" t="n">
        <v>5033.5</v>
      </c>
      <c r="S13" s="26" t="n"/>
    </row>
    <row r="14" hidden="1" ht="15.6" customHeight="1">
      <c r="A14" s="198" t="inlineStr">
        <is>
          <t>Wellington</t>
        </is>
      </c>
      <c r="B14" s="200">
        <f>'14 - 20 June 2021'!D14</f>
        <v/>
      </c>
      <c r="C14" s="73" t="n"/>
      <c r="D14" s="145" t="n"/>
      <c r="E14" s="145" t="n"/>
      <c r="F14" s="163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'14 - 20 June 2021'!D15</f>
        <v/>
      </c>
      <c r="C15" s="73" t="n">
        <v>233344.84</v>
      </c>
      <c r="D15" s="145" t="n">
        <v>108896.3</v>
      </c>
      <c r="E15" s="145" t="n">
        <v>511709.52</v>
      </c>
      <c r="F15" s="163">
        <f>IFERROR((SUM(D15-C15)/C15),0)</f>
        <v/>
      </c>
      <c r="G15" s="155">
        <f>IFERROR((SUM(D15-B15)/B15),0)</f>
        <v/>
      </c>
      <c r="H15" s="150" t="n">
        <v>400</v>
      </c>
      <c r="I15" s="63">
        <f>IFERROR(D15/H15,0)</f>
        <v/>
      </c>
      <c r="J15" s="61" t="n">
        <v>30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17941.3</v>
      </c>
      <c r="Q15" s="89">
        <f>SUM(P15/D15)</f>
        <v/>
      </c>
      <c r="R15" s="130" t="n">
        <v>3000.5</v>
      </c>
      <c r="S15" s="9" t="n"/>
    </row>
    <row r="16" ht="15.6" customHeight="1">
      <c r="A16" s="198" t="inlineStr">
        <is>
          <t>Kyalami Corner</t>
        </is>
      </c>
      <c r="B16" s="200">
        <f>'14 - 20 June 2021'!D16</f>
        <v/>
      </c>
      <c r="C16" s="73" t="n">
        <v>126934.85</v>
      </c>
      <c r="D16" s="145" t="n">
        <v>87193.5</v>
      </c>
      <c r="E16" s="145" t="n">
        <v>412262.39</v>
      </c>
      <c r="F16" s="163">
        <f>IFERROR((SUM(D16-C16)/C16),0)</f>
        <v/>
      </c>
      <c r="G16" s="155">
        <f>IFERROR((SUM(D16-B16)/B16),0)</f>
        <v/>
      </c>
      <c r="H16" s="150" t="n">
        <v>370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/>
      </c>
      <c r="M16" s="172">
        <f>IFERROR(L16/SUM(H16),0)</f>
        <v/>
      </c>
      <c r="N16" s="260" t="n">
        <v>29064.01</v>
      </c>
      <c r="O16" s="89">
        <f>SUM(N16/D16)</f>
        <v/>
      </c>
      <c r="P16" s="260" t="n">
        <v>16823.87</v>
      </c>
      <c r="Q16" s="89">
        <f>SUM(P16/D16)</f>
        <v/>
      </c>
      <c r="R16" s="130" t="n">
        <v>4120</v>
      </c>
      <c r="S16" s="9" t="n"/>
      <c r="V16" s="238" t="n"/>
    </row>
    <row r="17" ht="15.6" customHeight="1">
      <c r="A17" s="251" t="inlineStr">
        <is>
          <t>Paulshof</t>
        </is>
      </c>
      <c r="B17" s="200">
        <f>'14 - 20 June 2021'!D17</f>
        <v/>
      </c>
      <c r="C17" s="73" t="n">
        <v>212563.92</v>
      </c>
      <c r="D17" s="145" t="n">
        <v>114871.66</v>
      </c>
      <c r="E17" s="145" t="n">
        <v>521869.56</v>
      </c>
      <c r="F17" s="163">
        <f>IFERROR((SUM(D17-C17)/C17),0)</f>
        <v/>
      </c>
      <c r="G17" s="155">
        <f>IFERROR((SUM(D17-B17)/B17),0)</f>
        <v/>
      </c>
      <c r="H17" s="150" t="n">
        <v>496</v>
      </c>
      <c r="I17" s="63">
        <f>IFERROR(D17/H17,0)</f>
        <v/>
      </c>
      <c r="J17" s="61" t="n">
        <v>50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/>
      </c>
      <c r="M17" s="172">
        <f>IFERROR(L17/SUM(H17),0)</f>
        <v/>
      </c>
      <c r="N17" s="260" t="n">
        <v>26144.43</v>
      </c>
      <c r="O17" s="89">
        <f>SUM(N17/D17)</f>
        <v/>
      </c>
      <c r="P17" s="260" t="n">
        <v>15171.03</v>
      </c>
      <c r="Q17" s="89">
        <f>SUM(P17/D17)</f>
        <v/>
      </c>
      <c r="R17" s="130" t="n">
        <v>3875</v>
      </c>
      <c r="S17" s="9" t="n"/>
    </row>
    <row r="18" ht="15.6" customHeight="1">
      <c r="A18" s="198" t="inlineStr">
        <is>
          <t>Queenswood</t>
        </is>
      </c>
      <c r="B18" s="200">
        <f>'14 - 20 June 2021'!D18</f>
        <v/>
      </c>
      <c r="C18" s="73" t="n">
        <v>174527.99</v>
      </c>
      <c r="D18" s="145" t="n">
        <v>119981.91</v>
      </c>
      <c r="E18" s="145" t="n">
        <v>483246.86</v>
      </c>
      <c r="F18" s="163">
        <f>IFERROR((SUM(D18-C18)/C18),0)</f>
        <v/>
      </c>
      <c r="G18" s="155">
        <f>IFERROR((SUM(D18-B18)/B18),0)</f>
        <v/>
      </c>
      <c r="H18" s="150" t="n">
        <v>495</v>
      </c>
      <c r="I18" s="63">
        <f>IFERROR(D18/H18,0)</f>
        <v/>
      </c>
      <c r="J18" s="61" t="n">
        <v>48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/>
      </c>
      <c r="M18" s="172">
        <f>IFERROR(L18/SUM(H18),0)</f>
        <v/>
      </c>
      <c r="N18" s="260" t="n">
        <v>27930.03</v>
      </c>
      <c r="O18" s="89">
        <f>SUM(N18/D18)</f>
        <v/>
      </c>
      <c r="P18" s="260" t="n">
        <v>18718.64</v>
      </c>
      <c r="Q18" s="89">
        <f>SUM(P18/D18)</f>
        <v/>
      </c>
      <c r="R18" s="130" t="n">
        <v>4004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07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1" operator="equal" dxfId="0">
      <formula>0</formula>
    </cfRule>
  </conditionalFormatting>
  <conditionalFormatting sqref="D7:E19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bestFit="1" customWidth="1" min="4" max="4"/>
    <col width="14.6640625" customWidth="1" min="5" max="5"/>
    <col width="12.6640625" bestFit="1" customWidth="1" min="6" max="6"/>
    <col width="12.6640625" customWidth="1" min="7" max="7"/>
    <col width="11.44140625" bestFit="1" customWidth="1" min="8" max="8"/>
    <col width="13.44140625" bestFit="1" customWidth="1" min="9" max="9"/>
    <col width="10.33203125" customWidth="1" min="10" max="10"/>
    <col width="9.44140625" customWidth="1" min="12" max="12"/>
    <col width="10.5546875" bestFit="1" customWidth="1" min="13" max="13"/>
    <col width="14.5546875" customWidth="1" min="14" max="14"/>
    <col width="11.6640625" bestFit="1" customWidth="1" min="15" max="15"/>
    <col width="13.6640625" customWidth="1" min="16" max="16"/>
    <col width="13.44140625" customWidth="1" min="17" max="17"/>
    <col width="12.6640625" bestFit="1" customWidth="1" min="18" max="18"/>
  </cols>
  <sheetData>
    <row r="1" ht="15.6" customHeight="1">
      <c r="A1" s="7" t="n"/>
      <c r="B1" s="7" t="n"/>
      <c r="C1" s="7" t="n"/>
      <c r="D1" s="7" t="n"/>
      <c r="E1" s="7" t="n"/>
      <c r="F1" s="14" t="inlineStr">
        <is>
          <t>% Organic</t>
        </is>
      </c>
      <c r="G1" s="14" t="inlineStr">
        <is>
          <t>% Organic</t>
        </is>
      </c>
      <c r="H1" s="7" t="n"/>
      <c r="I1" s="7" t="n"/>
      <c r="J1" s="7" t="n"/>
      <c r="K1" s="7" t="n"/>
      <c r="L1" s="7" t="inlineStr">
        <is>
          <t>.</t>
        </is>
      </c>
      <c r="M1" s="7" t="n"/>
      <c r="N1" s="7" t="inlineStr">
        <is>
          <t>.</t>
        </is>
      </c>
      <c r="O1" s="7" t="n"/>
      <c r="P1" s="7" t="n"/>
      <c r="Q1" s="7" t="n"/>
      <c r="R1" s="81" t="n"/>
      <c r="S1" s="9" t="n"/>
    </row>
    <row r="2" ht="16.5" customHeight="1" thickBot="1">
      <c r="A2" s="1" t="n"/>
      <c r="B2" s="1" t="n"/>
      <c r="C2" s="1" t="n"/>
      <c r="D2" s="1" t="n"/>
      <c r="E2" s="1" t="n"/>
      <c r="F2" s="400">
        <f>(((D4-D19-C19)-C4)/C4)</f>
        <v/>
      </c>
      <c r="G2" s="400">
        <f>(((D4-D19-B19)-B4)/D4)</f>
        <v/>
      </c>
      <c r="H2" s="34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81" t="n"/>
      <c r="S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250" t="inlineStr">
        <is>
          <t>T/over Net</t>
        </is>
      </c>
      <c r="E3" s="253" t="inlineStr">
        <is>
          <t>Month To Date T/Over</t>
        </is>
      </c>
      <c r="F3" s="253" t="inlineStr">
        <is>
          <t>% to LY 2019</t>
        </is>
      </c>
      <c r="G3" s="250" t="inlineStr">
        <is>
          <t>% to LW</t>
        </is>
      </c>
      <c r="H3" s="236" t="inlineStr">
        <is>
          <t>Invoices</t>
        </is>
      </c>
      <c r="I3" s="250" t="inlineStr">
        <is>
          <t>Avg Spend</t>
        </is>
      </c>
      <c r="J3" s="113" t="inlineStr">
        <is>
          <t>PROMO Weekly</t>
        </is>
      </c>
      <c r="K3" s="113" t="inlineStr">
        <is>
          <t>% To Covers</t>
        </is>
      </c>
      <c r="L3" s="113" t="inlineStr">
        <is>
          <t>Promo to Date</t>
        </is>
      </c>
      <c r="M3" s="113" t="inlineStr">
        <is>
          <t>% To Date</t>
        </is>
      </c>
      <c r="N3" s="113" t="inlineStr">
        <is>
          <t>Uber / Mr D Deliveries</t>
        </is>
      </c>
      <c r="O3" s="113" t="inlineStr">
        <is>
          <t>% To Date</t>
        </is>
      </c>
      <c r="P3" s="177" t="inlineStr">
        <is>
          <t>WhatsApp</t>
        </is>
      </c>
      <c r="Q3" s="177" t="inlineStr">
        <is>
          <t>WhatsApp % of TO</t>
        </is>
      </c>
      <c r="R3" s="402" t="inlineStr">
        <is>
          <t>Discounts</t>
        </is>
      </c>
      <c r="S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217">
        <f>IFERROR((SUM(D4-C4)/C4),0)</f>
        <v/>
      </c>
      <c r="G4" s="217">
        <f>IFERROR((SUM(D4-B4)/D4),0)</f>
        <v/>
      </c>
      <c r="H4" s="262">
        <f>SUM(H6:H18)</f>
        <v/>
      </c>
      <c r="I4" s="218">
        <f>AVERAGE(I5:I19)</f>
        <v/>
      </c>
      <c r="J4" s="219">
        <f>SUM(J6:J19)</f>
        <v/>
      </c>
      <c r="K4" s="220">
        <f>IFERROR(J4/H4,0)</f>
        <v/>
      </c>
      <c r="L4" s="221">
        <f>SUM(L6:L19)</f>
        <v/>
      </c>
      <c r="M4" s="222">
        <f>IFERROR(L4/SUM(H4),0)</f>
        <v/>
      </c>
      <c r="N4" s="249">
        <f>SUM(N6:N19)</f>
        <v/>
      </c>
      <c r="O4" s="222">
        <f>SUM(N4/D4)</f>
        <v/>
      </c>
      <c r="P4" s="244">
        <f>SUM(P6:P19)</f>
        <v/>
      </c>
      <c r="Q4" s="222">
        <f>SUM(P4/D4)</f>
        <v/>
      </c>
      <c r="R4" s="257">
        <f>SUM(R6:R19)</f>
        <v/>
      </c>
      <c r="S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143" t="n"/>
      <c r="E5" s="252" t="n"/>
      <c r="F5" s="153">
        <f>IFERROR((SUM(D5-C5)/C5),0)</f>
        <v/>
      </c>
      <c r="G5" s="153">
        <f>IFERROR((SUM(F5-D5)/D5),0)</f>
        <v/>
      </c>
      <c r="H5" s="148" t="n"/>
      <c r="I5" s="119" t="n"/>
      <c r="J5" s="118" t="n"/>
      <c r="K5" s="120">
        <f>IFERROR(J5/H5,0)</f>
        <v/>
      </c>
      <c r="L5" s="121">
        <f>J5+'Nov 19 - Nov 25'!J5+'Nov 26 - Dec 2'!J5+'Dec 3 - Dec 9'!J5+'Dec 10 - Dec 16'!J5+'Dec 17 - Dec 23'!J5+'Dec 24 - Dec 30'!J5</f>
        <v/>
      </c>
      <c r="M5" s="122">
        <f>IFERROR(L5/SUM(H5),0)</f>
        <v/>
      </c>
      <c r="N5" s="245" t="n"/>
      <c r="O5" s="122">
        <f>IFERROR(N5/SUM(H5),0)</f>
        <v/>
      </c>
      <c r="P5" s="245" t="n"/>
      <c r="Q5" s="122" t="n"/>
      <c r="R5" s="71" t="n"/>
      <c r="S5" s="25" t="n"/>
    </row>
    <row r="6" ht="16.5" customHeight="1">
      <c r="A6" s="408" t="inlineStr">
        <is>
          <t>Irene Village</t>
        </is>
      </c>
      <c r="B6" s="200">
        <f>'21 - 27 June 2021'!D6</f>
        <v/>
      </c>
      <c r="C6" s="255" t="n">
        <v>289905.35</v>
      </c>
      <c r="D6" s="123" t="n">
        <v>76505.17999999999</v>
      </c>
      <c r="E6" s="197" t="n">
        <v>55058.69</v>
      </c>
      <c r="F6" s="154">
        <f>IFERROR((SUM(D6-C6)/C6),0)</f>
        <v/>
      </c>
      <c r="G6" s="154">
        <f>IFERROR((SUM(D6-B6)/B6),0)</f>
        <v/>
      </c>
      <c r="H6" s="149" t="n">
        <v>347</v>
      </c>
      <c r="I6" s="63">
        <f>IFERROR(D6/H6,0)</f>
        <v/>
      </c>
      <c r="J6" s="125" t="n">
        <v>10</v>
      </c>
      <c r="K6" s="126">
        <f>IFERROR(J6/H6,0)</f>
        <v/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/>
      </c>
      <c r="M6" s="171">
        <f>IFERROR(L6/SUM(H6),0)</f>
        <v/>
      </c>
      <c r="N6" s="259" t="n">
        <v>65325.65</v>
      </c>
      <c r="O6" s="128">
        <f>SUM(N6/D6)</f>
        <v/>
      </c>
      <c r="P6" s="260" t="n">
        <v>1330.17</v>
      </c>
      <c r="Q6" s="128">
        <f>SUM(P6/D6)</f>
        <v/>
      </c>
      <c r="R6" s="129" t="n">
        <v>1935.2</v>
      </c>
      <c r="S6" s="26" t="n"/>
    </row>
    <row r="7" ht="15.6" customHeight="1">
      <c r="A7" s="409" t="inlineStr">
        <is>
          <t>Melrose Arch</t>
        </is>
      </c>
      <c r="B7" s="200">
        <f>'21 - 27 June 2021'!D7</f>
        <v/>
      </c>
      <c r="C7" s="73" t="n">
        <v>262280.91</v>
      </c>
      <c r="D7" s="145" t="n">
        <v>45573.7</v>
      </c>
      <c r="E7" s="145" t="n">
        <v>34882.02</v>
      </c>
      <c r="F7" s="155">
        <f>IFERROR((SUM(D7-C7)/C7),0)</f>
        <v/>
      </c>
      <c r="G7" s="155">
        <f>IFERROR((SUM(D7-B7)/B7),0)</f>
        <v/>
      </c>
      <c r="H7" s="150" t="n">
        <v>225</v>
      </c>
      <c r="I7" s="63">
        <f>IFERROR(D7/H7,0)</f>
        <v/>
      </c>
      <c r="J7" s="61" t="n">
        <v>17</v>
      </c>
      <c r="K7" s="28">
        <f>IFERROR(J7/H7,0)</f>
        <v/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/>
      </c>
      <c r="M7" s="172">
        <f>IFERROR(L7/SUM(H7),0)</f>
        <v/>
      </c>
      <c r="N7" s="260" t="n">
        <v>27299.44</v>
      </c>
      <c r="O7" s="89">
        <f>SUM(N7/D7)</f>
        <v/>
      </c>
      <c r="P7" s="260" t="n">
        <v>16979.04</v>
      </c>
      <c r="Q7" s="89">
        <f>SUM(P7/D7)</f>
        <v/>
      </c>
      <c r="R7" s="130" t="n">
        <v>1417.45</v>
      </c>
      <c r="S7" s="26" t="n"/>
    </row>
    <row r="8" ht="15.6" customHeight="1">
      <c r="A8" s="409" t="inlineStr">
        <is>
          <t>Melville</t>
        </is>
      </c>
      <c r="B8" s="200">
        <f>'21 - 27 June 2021'!D8</f>
        <v/>
      </c>
      <c r="C8" s="73" t="n">
        <v>99818.07000000001</v>
      </c>
      <c r="D8" s="145" t="n">
        <v>61668.56</v>
      </c>
      <c r="E8" s="145" t="n">
        <v>43721.54</v>
      </c>
      <c r="F8" s="155">
        <f>IFERROR((SUM(D8-C8)/C8),0)</f>
        <v/>
      </c>
      <c r="G8" s="155">
        <f>IFERROR((SUM(D8-B8)/B8),0)</f>
        <v/>
      </c>
      <c r="H8" s="150" t="n">
        <v>322</v>
      </c>
      <c r="I8" s="63">
        <f>IFERROR(D8/H8,0)</f>
        <v/>
      </c>
      <c r="J8" s="61" t="n">
        <v>1</v>
      </c>
      <c r="K8" s="28">
        <f>IFERROR(J8/H8,0)</f>
        <v/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/>
      </c>
      <c r="M8" s="172">
        <f>IFERROR(L8/SUM(H8),0)</f>
        <v/>
      </c>
      <c r="N8" s="260" t="n">
        <v>47067.11</v>
      </c>
      <c r="O8" s="89">
        <f>SUM(N8/D8)</f>
        <v/>
      </c>
      <c r="P8" s="260" t="n">
        <v>15910.96</v>
      </c>
      <c r="Q8" s="89">
        <f>SUM(P8/D8)</f>
        <v/>
      </c>
      <c r="R8" s="130" t="n">
        <v>1557.9</v>
      </c>
      <c r="S8" s="26" t="n"/>
    </row>
    <row r="9" ht="15.6" customHeight="1">
      <c r="A9" s="409" t="inlineStr">
        <is>
          <t>Rosebank</t>
        </is>
      </c>
      <c r="B9" s="200">
        <f>'21 - 27 June 2021'!D9</f>
        <v/>
      </c>
      <c r="C9" s="73" t="n">
        <v>285273.64</v>
      </c>
      <c r="D9" s="145" t="n">
        <v>50431.71</v>
      </c>
      <c r="E9" s="145" t="n">
        <v>37900.47</v>
      </c>
      <c r="F9" s="155">
        <f>IFERROR((SUM(D9-C9)/C9),0)</f>
        <v/>
      </c>
      <c r="G9" s="155">
        <f>IFERROR((SUM(D9-B9)/B9),0)</f>
        <v/>
      </c>
      <c r="H9" s="150" t="n">
        <v>256</v>
      </c>
      <c r="I9" s="63">
        <f>IFERROR(D9/H9,0)</f>
        <v/>
      </c>
      <c r="J9" s="61" t="n">
        <v>13</v>
      </c>
      <c r="K9" s="28">
        <f>IFERROR(J9/H9,0)</f>
        <v/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/>
      </c>
      <c r="M9" s="172">
        <f>IFERROR(L9/SUM(H9),0)</f>
        <v/>
      </c>
      <c r="N9" s="260" t="n">
        <v>26928.51</v>
      </c>
      <c r="O9" s="89">
        <f>SUM(N9/D9)</f>
        <v/>
      </c>
      <c r="P9" s="260" t="n">
        <v>15464.75</v>
      </c>
      <c r="Q9" s="89">
        <f>SUM(P9/D9)</f>
        <v/>
      </c>
      <c r="R9" s="130" t="n">
        <v>1546.9</v>
      </c>
      <c r="S9" s="26" t="n"/>
    </row>
    <row r="10" ht="15.6" customHeight="1">
      <c r="A10" s="411" t="inlineStr">
        <is>
          <t xml:space="preserve">Waterkloof </t>
        </is>
      </c>
      <c r="B10" s="200">
        <f>'21 - 27 June 2021'!D10</f>
        <v/>
      </c>
      <c r="C10" s="73" t="n">
        <v>151033.79</v>
      </c>
      <c r="D10" s="145" t="n">
        <v>38908.65</v>
      </c>
      <c r="E10" s="145" t="n">
        <v>32285.37</v>
      </c>
      <c r="F10" s="155">
        <f>IFERROR((SUM(D10-C10)/C10),0)</f>
        <v/>
      </c>
      <c r="G10" s="155">
        <f>IFERROR((SUM(D10-B10)/B10),0)</f>
        <v/>
      </c>
      <c r="H10" s="150" t="n">
        <v>189</v>
      </c>
      <c r="I10" s="63">
        <f>IFERROR(D10/H10,0)</f>
        <v/>
      </c>
      <c r="J10" s="61" t="n">
        <v>12</v>
      </c>
      <c r="K10" s="28">
        <f>IFERROR(J10/H10,0)</f>
        <v/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/>
      </c>
      <c r="M10" s="172">
        <f>IFERROR(L10/SUM(H10),0)</f>
        <v/>
      </c>
      <c r="N10" s="260" t="n">
        <v>18884.97</v>
      </c>
      <c r="O10" s="89">
        <f>SUM(N10/D10)</f>
        <v/>
      </c>
      <c r="P10" s="260" t="n">
        <v>18686.32</v>
      </c>
      <c r="Q10" s="89">
        <f>SUM(P10/D10)</f>
        <v/>
      </c>
      <c r="R10" s="130" t="n">
        <v>1624.72</v>
      </c>
      <c r="S10" s="26" t="n"/>
    </row>
    <row r="11" ht="15.6" customHeight="1">
      <c r="A11" s="409" t="inlineStr">
        <is>
          <t>Eagles Landing</t>
        </is>
      </c>
      <c r="B11" s="200">
        <f>'21 - 27 June 2021'!D11</f>
        <v/>
      </c>
      <c r="C11" s="73" t="n">
        <v>338755.04</v>
      </c>
      <c r="D11" s="145" t="n">
        <v>87544.53</v>
      </c>
      <c r="E11" s="145" t="n">
        <v>64439.83</v>
      </c>
      <c r="F11" s="155">
        <f>IFERROR((SUM(D11-C11)/C11),0)</f>
        <v/>
      </c>
      <c r="G11" s="155">
        <f>IFERROR((SUM(D11-B11)/B11),0)</f>
        <v/>
      </c>
      <c r="H11" s="150" t="n">
        <v>398</v>
      </c>
      <c r="I11" s="63">
        <f>IFERROR(D11/H11,0)</f>
        <v/>
      </c>
      <c r="J11" s="61" t="n">
        <v>18</v>
      </c>
      <c r="K11" s="28">
        <f>IFERROR(J11/H11,0)</f>
        <v/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/>
      </c>
      <c r="M11" s="172">
        <f>IFERROR(L11/SUM(H11),0)</f>
        <v/>
      </c>
      <c r="N11" s="260" t="n">
        <v>51789.29</v>
      </c>
      <c r="O11" s="89">
        <f>SUM(N11/D11)</f>
        <v/>
      </c>
      <c r="P11" s="260" t="n">
        <v>39975.65</v>
      </c>
      <c r="Q11" s="89">
        <f>SUM(P11/D11)</f>
        <v/>
      </c>
      <c r="R11" s="130" t="n">
        <v>5031.55</v>
      </c>
      <c r="S11" s="26" t="n"/>
    </row>
    <row r="12" ht="15.6" customHeight="1">
      <c r="A12" s="198" t="inlineStr">
        <is>
          <t>Stellenbosch</t>
        </is>
      </c>
      <c r="B12" s="200">
        <f>'21 - 27 June 2021'!D12</f>
        <v/>
      </c>
      <c r="C12" s="73" t="n">
        <v>130753.32</v>
      </c>
      <c r="D12" s="145" t="n">
        <v>49395.18</v>
      </c>
      <c r="E12" s="145" t="n">
        <v>29952.46</v>
      </c>
      <c r="F12" s="155">
        <f>IFERROR((SUM(D12-C12)/C12),0)</f>
        <v/>
      </c>
      <c r="G12" s="155">
        <f>IFERROR((SUM(D12-B12)/B12),0)</f>
        <v/>
      </c>
      <c r="H12" s="150" t="n">
        <v>207</v>
      </c>
      <c r="I12" s="63">
        <f>IFERROR(D12/H12,0)</f>
        <v/>
      </c>
      <c r="J12" s="61" t="n">
        <v>10</v>
      </c>
      <c r="K12" s="28">
        <f>IFERROR(J12/H12,0)</f>
        <v/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/>
      </c>
      <c r="M12" s="172">
        <f>IFERROR(L12/SUM(H12),0)</f>
        <v/>
      </c>
      <c r="N12" s="260" t="n">
        <v>33199.71</v>
      </c>
      <c r="O12" s="89">
        <f>SUM(N12/D12)</f>
        <v/>
      </c>
      <c r="P12" s="260" t="n">
        <v>17415.88</v>
      </c>
      <c r="Q12" s="89">
        <f>SUM(P12/D12)</f>
        <v/>
      </c>
      <c r="R12" s="130" t="n">
        <v>1430.7</v>
      </c>
      <c r="S12" s="26" t="n"/>
    </row>
    <row r="13" ht="15.6" customHeight="1">
      <c r="A13" s="198" t="inlineStr">
        <is>
          <t>Lynnwood</t>
        </is>
      </c>
      <c r="B13" s="200">
        <f>'21 - 27 June 2021'!D13</f>
        <v/>
      </c>
      <c r="C13" s="73" t="n">
        <v>216356.41</v>
      </c>
      <c r="D13" s="145" t="n">
        <v>94163.55</v>
      </c>
      <c r="E13" s="145" t="n">
        <v>67471.47</v>
      </c>
      <c r="F13" s="155">
        <f>IFERROR((SUM(D13-C13)/C13),0)</f>
        <v/>
      </c>
      <c r="G13" s="155">
        <f>IFERROR((SUM(D13-B13)/B13),0)</f>
        <v/>
      </c>
      <c r="H13" s="150" t="n">
        <v>431</v>
      </c>
      <c r="I13" s="63">
        <f>IFERROR(D13/H13,0)</f>
        <v/>
      </c>
      <c r="J13" s="61" t="n">
        <v>17</v>
      </c>
      <c r="K13" s="28">
        <f>IFERROR(J13/H13,0)</f>
        <v/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/>
      </c>
      <c r="M13" s="172">
        <f>IFERROR(L13/SUM(H13),0)</f>
        <v/>
      </c>
      <c r="N13" s="260" t="n">
        <v>53696.52</v>
      </c>
      <c r="O13" s="89">
        <f>SUM(N13/D13)</f>
        <v/>
      </c>
      <c r="P13" s="260" t="n">
        <v>37910.67</v>
      </c>
      <c r="Q13" s="89">
        <f>SUM(P13/D13)</f>
        <v/>
      </c>
      <c r="R13" s="130" t="n">
        <v>1712</v>
      </c>
      <c r="S13" s="26" t="n"/>
    </row>
    <row r="14" hidden="1" ht="15.6" customHeight="1">
      <c r="A14" s="198" t="inlineStr">
        <is>
          <t>Wellington</t>
        </is>
      </c>
      <c r="B14" s="200">
        <f>'21 - 27 June 2021'!D14</f>
        <v/>
      </c>
      <c r="C14" s="73" t="n"/>
      <c r="D14" s="145" t="n"/>
      <c r="E14" s="145" t="n"/>
      <c r="F14" s="155">
        <f>IFERROR((SUM(D14-C14)/C14),0)</f>
        <v/>
      </c>
      <c r="G14" s="155">
        <f>IFERROR((SUM(D14-B14)/B14),0)</f>
        <v/>
      </c>
      <c r="H14" s="150" t="n"/>
      <c r="I14" s="63">
        <f>IFERROR(D14/H14,0)</f>
        <v/>
      </c>
      <c r="J14" s="61" t="n"/>
      <c r="K14" s="28">
        <f>IFERROR(J14/H14,0)</f>
        <v/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/>
      </c>
      <c r="M14" s="172">
        <f>IFERROR(L14/SUM(H14),0)</f>
        <v/>
      </c>
      <c r="N14" s="247" t="n"/>
      <c r="O14" s="89">
        <f>SUM(N14/D14)</f>
        <v/>
      </c>
      <c r="P14" s="260" t="n"/>
      <c r="Q14" s="89">
        <f>SUM(P14/D14)</f>
        <v/>
      </c>
      <c r="R14" s="130" t="n"/>
      <c r="S14" s="26" t="n"/>
    </row>
    <row r="15" ht="15.6" customHeight="1">
      <c r="A15" s="198" t="inlineStr">
        <is>
          <t>Hartenbos</t>
        </is>
      </c>
      <c r="B15" s="200">
        <f>'21 - 27 June 2021'!D15</f>
        <v/>
      </c>
      <c r="C15" s="73" t="n">
        <v>216202.84</v>
      </c>
      <c r="D15" s="145" t="n">
        <v>34859.87</v>
      </c>
      <c r="E15" s="145" t="n">
        <v>27005.56</v>
      </c>
      <c r="F15" s="155">
        <f>IFERROR((SUM(D15-C15)/C15),0)</f>
        <v/>
      </c>
      <c r="G15" s="155">
        <f>IFERROR((SUM(D15-B15)/B15),0)</f>
        <v/>
      </c>
      <c r="H15" s="150" t="n">
        <v>171</v>
      </c>
      <c r="I15" s="63">
        <f>IFERROR(D15/H15,0)</f>
        <v/>
      </c>
      <c r="J15" s="61" t="n">
        <v>5</v>
      </c>
      <c r="K15" s="28">
        <f>IFERROR(J15/H15,0)</f>
        <v/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/>
      </c>
      <c r="M15" s="172">
        <f>IFERROR(L15/SUM(H15),0)</f>
        <v/>
      </c>
      <c r="N15" s="260" t="n">
        <v>0</v>
      </c>
      <c r="O15" s="89">
        <f>SUM(N15/D15)</f>
        <v/>
      </c>
      <c r="P15" s="260" t="n">
        <v>35564.35</v>
      </c>
      <c r="Q15" s="89">
        <f>SUM(P15/D15)</f>
        <v/>
      </c>
      <c r="R15" s="130" t="n">
        <v>795</v>
      </c>
      <c r="S15" s="9" t="n"/>
    </row>
    <row r="16" ht="15.6" customHeight="1">
      <c r="A16" s="198" t="inlineStr">
        <is>
          <t>Kyalami Corner</t>
        </is>
      </c>
      <c r="B16" s="200">
        <f>'21 - 27 June 2021'!D16</f>
        <v/>
      </c>
      <c r="C16" s="73" t="n">
        <v>133866.99</v>
      </c>
      <c r="D16" s="145" t="n">
        <v>58655.79</v>
      </c>
      <c r="E16" s="145" t="n">
        <v>44443.63</v>
      </c>
      <c r="F16" s="155">
        <f>IFERROR((SUM(D16-C16)/C16),0)</f>
        <v/>
      </c>
      <c r="G16" s="155">
        <f>IFERROR((SUM(D16-B16)/B16),0)</f>
        <v/>
      </c>
      <c r="H16" s="150" t="n">
        <v>275</v>
      </c>
      <c r="I16" s="63">
        <f>IFERROR(D16/H16,0)</f>
        <v/>
      </c>
      <c r="J16" s="61" t="n">
        <v>12</v>
      </c>
      <c r="K16" s="28">
        <f>IFERROR(J16/H16,0)</f>
        <v/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/>
      </c>
      <c r="M16" s="172">
        <f>IFERROR(L16/SUM(H16),0)</f>
        <v/>
      </c>
      <c r="N16" s="260" t="n">
        <v>32263.51</v>
      </c>
      <c r="O16" s="89">
        <f>SUM(N16/D16)</f>
        <v/>
      </c>
      <c r="P16" s="260" t="n">
        <v>28423.83</v>
      </c>
      <c r="Q16" s="89">
        <f>SUM(P16/D16)</f>
        <v/>
      </c>
      <c r="R16" s="130" t="n">
        <v>1476.5</v>
      </c>
      <c r="S16" s="9" t="n"/>
      <c r="V16" s="238" t="n"/>
    </row>
    <row r="17" ht="15.6" customHeight="1">
      <c r="A17" s="251" t="inlineStr">
        <is>
          <t>Paulshof</t>
        </is>
      </c>
      <c r="B17" s="200">
        <f>'21 - 27 June 2021'!D17</f>
        <v/>
      </c>
      <c r="C17" s="73" t="n">
        <v>204115.87</v>
      </c>
      <c r="D17" s="145" t="n">
        <v>63036.16</v>
      </c>
      <c r="E17" s="145" t="n">
        <v>46235.52</v>
      </c>
      <c r="F17" s="155">
        <f>IFERROR((SUM(D17-C17)/C17),0)</f>
        <v/>
      </c>
      <c r="G17" s="155">
        <f>IFERROR((SUM(D17-B17)/B17),0)</f>
        <v/>
      </c>
      <c r="H17" s="150" t="n">
        <v>326</v>
      </c>
      <c r="I17" s="63">
        <f>IFERROR(D17/H17,0)</f>
        <v/>
      </c>
      <c r="J17" s="61" t="n">
        <v>10</v>
      </c>
      <c r="K17" s="28">
        <f>IFERROR(J17/H17,0)</f>
        <v/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/>
      </c>
      <c r="M17" s="172">
        <f>IFERROR(L17/SUM(H17),0)</f>
        <v/>
      </c>
      <c r="N17" s="260" t="n">
        <v>29431.25</v>
      </c>
      <c r="O17" s="89">
        <f>SUM(N17/D17)</f>
        <v/>
      </c>
      <c r="P17" s="260" t="n">
        <v>17020.8</v>
      </c>
      <c r="Q17" s="89">
        <f>SUM(P17/D17)</f>
        <v/>
      </c>
      <c r="R17" s="130" t="n">
        <v>2194.9</v>
      </c>
      <c r="S17" s="9" t="n"/>
    </row>
    <row r="18" ht="15.6" customHeight="1">
      <c r="A18" s="198" t="inlineStr">
        <is>
          <t>Queenswood</t>
        </is>
      </c>
      <c r="B18" s="200">
        <f>'21 - 27 June 2021'!D18</f>
        <v/>
      </c>
      <c r="C18" s="73" t="n">
        <v>171677.33</v>
      </c>
      <c r="D18" s="145" t="n">
        <v>60926.38</v>
      </c>
      <c r="E18" s="145" t="n">
        <v>42513.39</v>
      </c>
      <c r="F18" s="155">
        <f>IFERROR((SUM(D18-C18)/C18),0)</f>
        <v/>
      </c>
      <c r="G18" s="155">
        <f>IFERROR((SUM(D18-B18)/B18),0)</f>
        <v/>
      </c>
      <c r="H18" s="150" t="n">
        <v>301</v>
      </c>
      <c r="I18" s="63">
        <f>IFERROR(D18/H18,0)</f>
        <v/>
      </c>
      <c r="J18" s="61" t="n">
        <v>13</v>
      </c>
      <c r="K18" s="28">
        <f>IFERROR(J18/H18,0)</f>
        <v/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/>
      </c>
      <c r="M18" s="172">
        <f>IFERROR(L18/SUM(H18),0)</f>
        <v/>
      </c>
      <c r="N18" s="260" t="n">
        <v>31251.48</v>
      </c>
      <c r="O18" s="89">
        <f>SUM(N18/D18)</f>
        <v/>
      </c>
      <c r="P18" s="260" t="n">
        <v>26956.34</v>
      </c>
      <c r="Q18" s="89">
        <f>SUM(P18/D18)</f>
        <v/>
      </c>
      <c r="R18" s="130" t="n">
        <v>780.5</v>
      </c>
      <c r="S18" s="9" t="n"/>
    </row>
    <row r="19" ht="16.2" customHeight="1" thickBot="1">
      <c r="A19" s="203" t="inlineStr">
        <is>
          <t>Centurion</t>
        </is>
      </c>
      <c r="B19" s="201">
        <f>'23 - 29 Nov 2020'!D19</f>
        <v/>
      </c>
      <c r="C19" s="205" t="n">
        <v>0</v>
      </c>
      <c r="D19" s="206" t="n">
        <v>0</v>
      </c>
      <c r="E19" s="216" t="n">
        <v>0</v>
      </c>
      <c r="F19" s="265">
        <f>IFERROR((SUM(D19-C19)/C19),0)</f>
        <v/>
      </c>
      <c r="G19" s="156">
        <f>IFERROR((SUM(D19-B19)/B19),0)</f>
        <v/>
      </c>
      <c r="H19" s="151" t="n">
        <v>0</v>
      </c>
      <c r="I19" s="132">
        <f>IFERROR(D19/H19,0)</f>
        <v/>
      </c>
      <c r="J19" s="133" t="n">
        <v>0</v>
      </c>
      <c r="K19" s="114">
        <f>IFERROR(J19/H19,0)</f>
        <v/>
      </c>
      <c r="L19" s="115" t="n">
        <v>0</v>
      </c>
      <c r="M19" s="213">
        <f>IFERROR(L19/SUM(H19),0)</f>
        <v/>
      </c>
      <c r="N19" s="261" t="n">
        <v>0</v>
      </c>
      <c r="O19" s="116">
        <f>SUM(N19/D19)</f>
        <v/>
      </c>
      <c r="P19" s="261" t="n">
        <v>0</v>
      </c>
      <c r="Q19" s="116">
        <f>SUM(P19/D19)</f>
        <v/>
      </c>
      <c r="R19" s="134" t="n">
        <v>0</v>
      </c>
      <c r="S19" s="9" t="n"/>
    </row>
    <row r="20">
      <c r="A20" s="81" t="n"/>
      <c r="B20" s="81" t="n"/>
      <c r="C20" s="81" t="n"/>
      <c r="D20" s="395" t="n"/>
      <c r="E20" s="83" t="n"/>
      <c r="F20" s="81" t="n"/>
      <c r="G20" s="81" t="n"/>
      <c r="H20" s="396" t="n"/>
      <c r="I20" s="397" t="n"/>
      <c r="J20" s="91" t="n"/>
      <c r="K20" s="397" t="n"/>
      <c r="L20" s="397" t="n"/>
      <c r="M20" s="397" t="n"/>
      <c r="N20" s="397" t="n"/>
      <c r="O20" s="397" t="n"/>
      <c r="P20" s="397" t="n"/>
      <c r="Q20" s="397" t="n"/>
      <c r="R20" s="397" t="n"/>
      <c r="S20" s="9" t="n"/>
    </row>
    <row r="21">
      <c r="A21" s="81" t="n"/>
      <c r="B21" s="81" t="n"/>
      <c r="C21" s="81" t="n"/>
      <c r="D21" s="83" t="n"/>
      <c r="E21" s="83" t="n"/>
      <c r="F21" s="81" t="n"/>
      <c r="G21" s="81" t="n"/>
      <c r="H21" s="82" t="n"/>
      <c r="I21" s="81" t="n"/>
      <c r="J21" s="81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9" t="n"/>
    </row>
    <row r="22">
      <c r="A22" s="81" t="n"/>
      <c r="B22" s="81" t="n"/>
      <c r="C22" s="81" t="n"/>
      <c r="D22" s="83" t="n"/>
      <c r="E22" s="83" t="n"/>
      <c r="F22" s="81" t="n"/>
      <c r="G22" s="81" t="n"/>
      <c r="H22" s="82" t="n"/>
      <c r="I22" s="81" t="n"/>
      <c r="J22" s="81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9" t="n"/>
    </row>
    <row r="23" ht="15" customHeight="1">
      <c r="A23" s="81" t="n"/>
      <c r="B23" s="81" t="n"/>
      <c r="C23" s="81" t="n"/>
      <c r="D23" s="83" t="n"/>
      <c r="E23" s="83" t="n"/>
      <c r="F23" s="81" t="n"/>
      <c r="G23" s="81" t="n"/>
      <c r="H23" s="82" t="n"/>
      <c r="I23" s="81" t="n"/>
      <c r="J23" s="81" t="n"/>
      <c r="K23" s="81" t="n"/>
      <c r="L23" s="81" t="n"/>
      <c r="M23" s="81" t="n"/>
      <c r="N23" s="81" t="n"/>
      <c r="O23" s="81" t="n"/>
      <c r="P23" s="81" t="n"/>
      <c r="Q23" s="81" t="n"/>
      <c r="R23" s="27" t="n"/>
      <c r="S23" s="9" t="n"/>
    </row>
    <row r="24">
      <c r="A24" s="81" t="n"/>
      <c r="B24" s="81" t="n"/>
      <c r="C24" s="81" t="n"/>
      <c r="D24" s="83" t="n"/>
      <c r="E24" s="83" t="n"/>
      <c r="F24" s="81" t="n"/>
      <c r="G24" s="81" t="n"/>
      <c r="H24" s="82" t="n"/>
      <c r="I24" s="81" t="n"/>
      <c r="J24" s="81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9" t="n"/>
    </row>
    <row r="25">
      <c r="A25" s="81" t="n"/>
      <c r="B25" s="81" t="n"/>
      <c r="C25" s="81" t="n"/>
      <c r="D25" s="83" t="n"/>
      <c r="E25" s="83" t="n"/>
      <c r="F25" s="81" t="n"/>
      <c r="G25" s="81" t="n"/>
      <c r="H25" s="82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9" t="n"/>
    </row>
    <row r="26">
      <c r="A26" s="81" t="n"/>
      <c r="B26" s="81" t="n"/>
      <c r="C26" s="81" t="n"/>
      <c r="D26" s="83" t="n"/>
      <c r="E26" s="83" t="n"/>
      <c r="F26" s="81" t="n"/>
      <c r="G26" s="81" t="n"/>
      <c r="H26" s="82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9" t="n"/>
    </row>
    <row r="27">
      <c r="A27" s="81" t="n"/>
      <c r="B27" s="81" t="n"/>
      <c r="C27" s="81" t="n"/>
      <c r="D27" s="83" t="n"/>
      <c r="E27" s="83" t="n"/>
      <c r="F27" s="81" t="n"/>
      <c r="G27" s="81" t="n"/>
      <c r="H27" s="82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9" t="n"/>
    </row>
    <row r="28">
      <c r="A28" s="81" t="n"/>
      <c r="B28" s="81" t="n"/>
      <c r="C28" s="81" t="n"/>
      <c r="D28" s="83" t="n"/>
      <c r="E28" s="83" t="n"/>
      <c r="F28" s="81" t="n"/>
      <c r="G28" s="81" t="n"/>
      <c r="H28" s="82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9" t="n"/>
    </row>
  </sheetData>
  <conditionalFormatting sqref="C6:R19">
    <cfRule type="cellIs" priority="5" operator="equal" dxfId="0">
      <formula>0</formula>
    </cfRule>
  </conditionalFormatting>
  <conditionalFormatting sqref="D7:E19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'28 June - 4 July 2021'!D6</f>
        <v/>
      </c>
      <c r="C6" s="255" t="n">
        <v>226514.71</v>
      </c>
      <c r="D6" s="197" t="n">
        <v>80792.57000000001</v>
      </c>
      <c r="E6" s="123" t="n">
        <v>67895.53</v>
      </c>
      <c r="F6" s="197" t="n">
        <v>122954.22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293</v>
      </c>
      <c r="K6" s="63">
        <f>IFERROR(E6/J6,0)</f>
        <v/>
      </c>
      <c r="L6" s="125" t="n">
        <v>5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/>
      </c>
      <c r="O6" s="171">
        <f>IFERROR(N6/SUM(J6),0)</f>
        <v/>
      </c>
      <c r="P6" s="259" t="n">
        <v>17888.83</v>
      </c>
      <c r="Q6" s="128">
        <f>SUM(P6/E6)</f>
        <v/>
      </c>
      <c r="R6" s="260" t="n">
        <v>52652.04</v>
      </c>
      <c r="S6" s="128">
        <f>SUM(R6/E6)</f>
        <v/>
      </c>
      <c r="T6" s="129" t="n">
        <v>3068.4</v>
      </c>
      <c r="U6" s="26" t="n"/>
    </row>
    <row r="7" ht="15.6" customHeight="1">
      <c r="A7" s="409" t="inlineStr">
        <is>
          <t>Melrose Arch</t>
        </is>
      </c>
      <c r="B7" s="200">
        <f>'28 June - 4 July 2021'!D7</f>
        <v/>
      </c>
      <c r="C7" s="73" t="n">
        <v>204794.67</v>
      </c>
      <c r="D7" s="145" t="n">
        <v>51345.6</v>
      </c>
      <c r="E7" s="145" t="n">
        <v>12625.24</v>
      </c>
      <c r="F7" s="145" t="n">
        <v>47507.26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</v>
      </c>
      <c r="K7" s="63">
        <f>IFERROR(E7/J7,0)</f>
        <v/>
      </c>
      <c r="L7" s="61" t="n">
        <v>12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/>
      </c>
      <c r="O7" s="172">
        <f>IFERROR(N7/SUM(J7),0)</f>
        <v/>
      </c>
      <c r="P7" s="260" t="n">
        <v>7114.5</v>
      </c>
      <c r="Q7" s="89">
        <f>SUM(P7/E7)</f>
        <v/>
      </c>
      <c r="R7" s="260" t="n">
        <v>5620.96</v>
      </c>
      <c r="S7" s="89">
        <f>SUM(R7/E7)</f>
        <v/>
      </c>
      <c r="T7" s="130" t="n">
        <v>127.8</v>
      </c>
      <c r="U7" s="26" t="n"/>
    </row>
    <row r="8" ht="15.6" customHeight="1">
      <c r="A8" s="409" t="inlineStr">
        <is>
          <t>Melville</t>
        </is>
      </c>
      <c r="B8" s="200">
        <f>'28 June - 4 July 2021'!D8</f>
        <v/>
      </c>
      <c r="C8" s="73" t="n">
        <v>95007.83</v>
      </c>
      <c r="D8" s="145" t="n">
        <v>46298.73</v>
      </c>
      <c r="E8" s="145" t="n">
        <v>49051.79</v>
      </c>
      <c r="F8" s="145" t="n">
        <v>92773.33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244</v>
      </c>
      <c r="K8" s="63">
        <f>IFERROR(E8/J8,0)</f>
        <v/>
      </c>
      <c r="L8" s="61" t="n">
        <v>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/>
      </c>
      <c r="O8" s="172">
        <f>IFERROR(N8/SUM(J8),0)</f>
        <v/>
      </c>
      <c r="P8" s="260" t="n">
        <v>33261.01</v>
      </c>
      <c r="Q8" s="89">
        <f>SUM(P8/E8)</f>
        <v/>
      </c>
      <c r="R8" s="260" t="n">
        <v>16905.61</v>
      </c>
      <c r="S8" s="89">
        <f>SUM(R8/E8)</f>
        <v/>
      </c>
      <c r="T8" s="130" t="n">
        <v>1048</v>
      </c>
      <c r="U8" s="26" t="n"/>
    </row>
    <row r="9" ht="15.6" customHeight="1">
      <c r="A9" s="409" t="inlineStr">
        <is>
          <t>Rosebank</t>
        </is>
      </c>
      <c r="B9" s="200">
        <f>'28 June - 4 July 2021'!D9</f>
        <v/>
      </c>
      <c r="C9" s="73" t="n">
        <v>279254.78</v>
      </c>
      <c r="D9" s="145" t="n">
        <v>0</v>
      </c>
      <c r="E9" s="145" t="n">
        <v>64927.23</v>
      </c>
      <c r="F9" s="145" t="n">
        <v>102827.7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315</v>
      </c>
      <c r="K9" s="63">
        <f>IFERROR(E9/J9,0)</f>
        <v/>
      </c>
      <c r="L9" s="61" t="n">
        <v>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/>
      </c>
      <c r="O9" s="172">
        <f>IFERROR(N9/SUM(J9),0)</f>
        <v/>
      </c>
      <c r="P9" s="260" t="n">
        <v>38907.71</v>
      </c>
      <c r="Q9" s="89">
        <f>SUM(P9/E9)</f>
        <v/>
      </c>
      <c r="R9" s="260" t="n">
        <v>28740.96</v>
      </c>
      <c r="S9" s="89">
        <f>SUM(R9/E9)</f>
        <v/>
      </c>
      <c r="T9" s="130" t="n">
        <v>3029.65</v>
      </c>
      <c r="U9" s="26" t="n"/>
    </row>
    <row r="10" ht="15.6" customHeight="1">
      <c r="A10" s="409" t="inlineStr">
        <is>
          <t xml:space="preserve">Waterkloof </t>
        </is>
      </c>
      <c r="B10" s="200">
        <f>'28 June - 4 July 2021'!D10</f>
        <v/>
      </c>
      <c r="C10" s="73" t="n">
        <v>131503.14</v>
      </c>
      <c r="D10" s="145" t="n">
        <v>81602.67</v>
      </c>
      <c r="E10" s="145" t="n">
        <v>56369.37</v>
      </c>
      <c r="F10" s="145" t="n">
        <v>88654.74000000001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255</v>
      </c>
      <c r="K10" s="63">
        <f>IFERROR(E10/J10,0)</f>
        <v/>
      </c>
      <c r="L10" s="61" t="n">
        <v>17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/>
      </c>
      <c r="O10" s="172">
        <f>IFERROR(N10/SUM(J10),0)</f>
        <v/>
      </c>
      <c r="P10" s="260" t="n">
        <v>21759.78</v>
      </c>
      <c r="Q10" s="89">
        <f>SUM(P10/E10)</f>
        <v/>
      </c>
      <c r="R10" s="260" t="n">
        <v>35743.57</v>
      </c>
      <c r="S10" s="89">
        <f>SUM(R10/E10)</f>
        <v/>
      </c>
      <c r="T10" s="130" t="n">
        <v>1247.8</v>
      </c>
      <c r="U10" s="26" t="n"/>
    </row>
    <row r="11" ht="15.6" customHeight="1">
      <c r="A11" s="409" t="inlineStr">
        <is>
          <t>Eagles Landing</t>
        </is>
      </c>
      <c r="B11" s="200">
        <f>'28 June - 4 July 2021'!D11</f>
        <v/>
      </c>
      <c r="C11" s="73" t="n">
        <v>326039.56</v>
      </c>
      <c r="D11" s="145" t="n">
        <v>108225.41</v>
      </c>
      <c r="E11" s="145" t="n">
        <v>98911.55</v>
      </c>
      <c r="F11" s="145" t="n">
        <v>163351.38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448</v>
      </c>
      <c r="K11" s="63">
        <f>IFERROR(E11/J11,0)</f>
        <v/>
      </c>
      <c r="L11" s="61" t="n">
        <v>33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/>
      </c>
      <c r="O11" s="172">
        <f>IFERROR(N11/SUM(J11),0)</f>
        <v/>
      </c>
      <c r="P11" s="260" t="n">
        <v>54453.43</v>
      </c>
      <c r="Q11" s="89">
        <f>SUM(P11/E11)</f>
        <v/>
      </c>
      <c r="R11" s="260" t="n">
        <v>50996.22</v>
      </c>
      <c r="S11" s="89">
        <f>SUM(R11/E11)</f>
        <v/>
      </c>
      <c r="T11" s="130" t="n">
        <v>7523.23</v>
      </c>
      <c r="U11" s="26" t="n"/>
    </row>
    <row r="12" ht="15.6" customHeight="1">
      <c r="A12" s="198" t="inlineStr">
        <is>
          <t>Stellenbosch</t>
        </is>
      </c>
      <c r="B12" s="200">
        <f>'28 June - 4 July 2021'!D12</f>
        <v/>
      </c>
      <c r="C12" s="73" t="n">
        <v>125918.89</v>
      </c>
      <c r="D12" s="145" t="n">
        <v>43519.28</v>
      </c>
      <c r="E12" s="145" t="n">
        <v>45614.88</v>
      </c>
      <c r="F12" s="145" t="n">
        <v>75567.34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214</v>
      </c>
      <c r="K12" s="63">
        <f>IFERROR(E12/J12,0)</f>
        <v/>
      </c>
      <c r="L12" s="61" t="n">
        <v>14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/>
      </c>
      <c r="O12" s="172">
        <f>IFERROR(N12/SUM(J12),0)</f>
        <v/>
      </c>
      <c r="P12" s="260" t="n">
        <v>8495.26</v>
      </c>
      <c r="Q12" s="89">
        <f>SUM(P12/E12)</f>
        <v/>
      </c>
      <c r="R12" s="260" t="n">
        <v>40813.73</v>
      </c>
      <c r="S12" s="89">
        <f>SUM(R12/E12)</f>
        <v/>
      </c>
      <c r="T12" s="130" t="n">
        <v>3698.3</v>
      </c>
      <c r="U12" s="26" t="n"/>
    </row>
    <row r="13" ht="15.6" customHeight="1">
      <c r="A13" s="198" t="inlineStr">
        <is>
          <t>Lynnwood</t>
        </is>
      </c>
      <c r="B13" s="200">
        <f>'28 June - 4 July 2021'!D13</f>
        <v/>
      </c>
      <c r="C13" s="73" t="n">
        <v>197895.08</v>
      </c>
      <c r="D13" s="145" t="n">
        <v>86048.78999999999</v>
      </c>
      <c r="E13" s="145" t="n">
        <v>84170.91</v>
      </c>
      <c r="F13" s="145" t="n">
        <v>151642.38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390</v>
      </c>
      <c r="K13" s="63">
        <f>IFERROR(E13/J13,0)</f>
        <v/>
      </c>
      <c r="L13" s="61" t="n">
        <v>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/>
      </c>
      <c r="O13" s="172">
        <f>IFERROR(N13/SUM(J13),0)</f>
        <v/>
      </c>
      <c r="P13" s="260" t="n">
        <v>35663.91</v>
      </c>
      <c r="Q13" s="89">
        <f>SUM(P13/E13)</f>
        <v/>
      </c>
      <c r="R13" s="260" t="n">
        <v>50114.13</v>
      </c>
      <c r="S13" s="89">
        <f>SUM(R13/E13)</f>
        <v/>
      </c>
      <c r="T13" s="130" t="n">
        <v>1498</v>
      </c>
      <c r="U13" s="26" t="n"/>
    </row>
    <row r="14" hidden="1" ht="15.6" customHeight="1">
      <c r="A14" s="198" t="inlineStr">
        <is>
          <t>Wellington</t>
        </is>
      </c>
      <c r="B14" s="200">
        <f>'28 June - 4 July 2021'!D14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'28 June - 4 July 2021'!D15</f>
        <v/>
      </c>
      <c r="C15" s="73" t="n">
        <v>157538.72</v>
      </c>
      <c r="D15" s="145" t="n">
        <v>53938.79</v>
      </c>
      <c r="E15" s="145" t="n">
        <v>53639.31</v>
      </c>
      <c r="F15" s="145" t="n">
        <v>80644.87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275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55475.22</v>
      </c>
      <c r="S15" s="89">
        <f>SUM(R15/E15)</f>
        <v/>
      </c>
      <c r="T15" s="130" t="n">
        <v>299.6</v>
      </c>
      <c r="U15" s="9" t="n"/>
    </row>
    <row r="16" ht="15.6" customHeight="1">
      <c r="A16" s="198" t="inlineStr">
        <is>
          <t>Kyalami Corner</t>
        </is>
      </c>
      <c r="B16" s="200">
        <f>'28 June - 4 July 2021'!D16</f>
        <v/>
      </c>
      <c r="C16" s="73" t="n">
        <v>107345.47</v>
      </c>
      <c r="D16" s="145" t="n">
        <v>47187.09</v>
      </c>
      <c r="E16" s="145" t="n">
        <v>53928.76</v>
      </c>
      <c r="F16" s="145" t="n">
        <v>98372.39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271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/>
      </c>
      <c r="O16" s="172">
        <f>IFERROR(N16/SUM(J16),0)</f>
        <v/>
      </c>
      <c r="P16" s="260" t="n">
        <v>25366.11</v>
      </c>
      <c r="Q16" s="89">
        <f>SUM(P16/E16)</f>
        <v/>
      </c>
      <c r="R16" s="260" t="n">
        <v>29926.17</v>
      </c>
      <c r="S16" s="89">
        <f>SUM(R16/E16)</f>
        <v/>
      </c>
      <c r="T16" s="130" t="n">
        <v>1601.7</v>
      </c>
      <c r="U16" s="9" t="n"/>
      <c r="X16" s="238" t="n"/>
    </row>
    <row r="17" ht="15.6" customHeight="1">
      <c r="A17" s="198" t="inlineStr">
        <is>
          <t>Paulshof</t>
        </is>
      </c>
      <c r="B17" s="200">
        <f>'28 June - 4 July 2021'!D17</f>
        <v/>
      </c>
      <c r="C17" s="73" t="n">
        <v>190547.85</v>
      </c>
      <c r="D17" s="145" t="n">
        <v>63047.6</v>
      </c>
      <c r="E17" s="145" t="n">
        <v>67366.8</v>
      </c>
      <c r="F17" s="145" t="n">
        <v>113602.32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352</v>
      </c>
      <c r="K17" s="63">
        <f>IFERROR(E17/J17,0)</f>
        <v/>
      </c>
      <c r="L17" s="61" t="n">
        <v>14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/>
      </c>
      <c r="O17" s="172">
        <f>IFERROR(N17/SUM(J17),0)</f>
        <v/>
      </c>
      <c r="P17" s="260" t="n">
        <v>23624.52</v>
      </c>
      <c r="Q17" s="89">
        <f>SUM(P17/E17)</f>
        <v/>
      </c>
      <c r="R17" s="260" t="n">
        <v>45700.35</v>
      </c>
      <c r="S17" s="89">
        <f>SUM(R17/E17)</f>
        <v/>
      </c>
      <c r="T17" s="130" t="n">
        <v>2251.7</v>
      </c>
      <c r="U17" s="9" t="n"/>
    </row>
    <row r="18" ht="15.6" customHeight="1">
      <c r="A18" s="198" t="inlineStr">
        <is>
          <t>Queenswood</t>
        </is>
      </c>
      <c r="B18" s="200">
        <f>'28 June - 4 July 2021'!D18</f>
        <v/>
      </c>
      <c r="C18" s="73" t="n">
        <v>159732.85</v>
      </c>
      <c r="D18" s="73" t="n">
        <v>56017.28</v>
      </c>
      <c r="E18" s="145" t="n">
        <v>59032.42</v>
      </c>
      <c r="F18" s="145" t="n">
        <v>101545.81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278</v>
      </c>
      <c r="K18" s="63">
        <f>IFERROR(E18/J18,0)</f>
        <v/>
      </c>
      <c r="L18" s="61" t="n">
        <v>20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/>
      </c>
      <c r="O18" s="172">
        <f>IFERROR(N18/SUM(J18),0)</f>
        <v/>
      </c>
      <c r="P18" s="260" t="n">
        <v>14913.37</v>
      </c>
      <c r="Q18" s="89">
        <f>SUM(P18/E18)</f>
        <v/>
      </c>
      <c r="R18" s="260" t="n">
        <v>45325.2</v>
      </c>
      <c r="S18" s="89">
        <f>SUM(R18/E18)</f>
        <v/>
      </c>
      <c r="T18" s="130" t="n">
        <v>1387.15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'5 - 11 July 2021'!E6</f>
        <v/>
      </c>
      <c r="C6" s="255" t="n">
        <v>246778.34</v>
      </c>
      <c r="D6" s="197" t="n">
        <v>72545.98</v>
      </c>
      <c r="E6" s="123" t="n">
        <v>104954.75</v>
      </c>
      <c r="F6" s="197" t="n">
        <v>227908.97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385</v>
      </c>
      <c r="K6" s="63">
        <f>IFERROR(E6/J6,0)</f>
        <v/>
      </c>
      <c r="L6" s="125" t="n">
        <v>22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/>
      </c>
      <c r="O6" s="171">
        <f>IFERROR(N6/SUM(J6),0)</f>
        <v/>
      </c>
      <c r="P6" s="259" t="n">
        <v>28464.96</v>
      </c>
      <c r="Q6" s="128">
        <f>SUM(P6/E6)</f>
        <v/>
      </c>
      <c r="R6" s="260" t="n">
        <v>18746.3</v>
      </c>
      <c r="S6" s="128">
        <f>SUM(R6/E6)</f>
        <v/>
      </c>
      <c r="T6" s="129" t="n">
        <v>4551</v>
      </c>
      <c r="U6" s="26" t="n"/>
    </row>
    <row r="7" ht="15.6" customHeight="1">
      <c r="A7" s="409" t="inlineStr">
        <is>
          <t>Melrose Arch</t>
        </is>
      </c>
      <c r="B7" s="200">
        <f>'5 - 11 July 2021'!E7</f>
        <v/>
      </c>
      <c r="C7" s="73" t="n">
        <v>191381.89</v>
      </c>
      <c r="D7" s="145" t="n">
        <v>58282.09</v>
      </c>
      <c r="E7" s="145" t="n">
        <v>50825.27</v>
      </c>
      <c r="F7" s="145" t="n">
        <v>98332.53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217</v>
      </c>
      <c r="K7" s="63">
        <f>IFERROR(E7/J7,0)</f>
        <v/>
      </c>
      <c r="L7" s="61" t="n">
        <v>15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/>
      </c>
      <c r="O7" s="172">
        <f>IFERROR(N7/SUM(J7),0)</f>
        <v/>
      </c>
      <c r="P7" s="260" t="n">
        <v>18188.65</v>
      </c>
      <c r="Q7" s="89">
        <f>SUM(P7/E7)</f>
        <v/>
      </c>
      <c r="R7" s="260" t="n">
        <v>9674.959999999999</v>
      </c>
      <c r="S7" s="89">
        <f>SUM(R7/E7)</f>
        <v/>
      </c>
      <c r="T7" s="130" t="n">
        <v>2286.3</v>
      </c>
      <c r="U7" s="26" t="n"/>
    </row>
    <row r="8" ht="15.6" customHeight="1">
      <c r="A8" s="409" t="inlineStr">
        <is>
          <t>Melville</t>
        </is>
      </c>
      <c r="B8" s="200">
        <f>'5 - 11 July 2021'!E8</f>
        <v/>
      </c>
      <c r="C8" s="73" t="n">
        <v>97633.12</v>
      </c>
      <c r="D8" s="145" t="n">
        <v>48298.25</v>
      </c>
      <c r="E8" s="145" t="n">
        <v>60937.2</v>
      </c>
      <c r="F8" s="145" t="n">
        <v>153710.53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276</v>
      </c>
      <c r="K8" s="63">
        <f>IFERROR(E8/J8,0)</f>
        <v/>
      </c>
      <c r="L8" s="61" t="n">
        <v>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/>
      </c>
      <c r="O8" s="172">
        <f>IFERROR(N8/SUM(J8),0)</f>
        <v/>
      </c>
      <c r="P8" s="260" t="n">
        <v>36395.56</v>
      </c>
      <c r="Q8" s="89">
        <f>SUM(P8/E8)</f>
        <v/>
      </c>
      <c r="R8" s="260" t="n">
        <v>11867.74</v>
      </c>
      <c r="S8" s="89">
        <f>SUM(R8/E8)</f>
        <v/>
      </c>
      <c r="T8" s="130" t="n">
        <v>1297</v>
      </c>
      <c r="U8" s="26" t="n"/>
    </row>
    <row r="9" ht="15.6" customHeight="1">
      <c r="A9" s="409" t="inlineStr">
        <is>
          <t>Rosebank</t>
        </is>
      </c>
      <c r="B9" s="200">
        <f>'5 - 11 July 2021'!E9</f>
        <v/>
      </c>
      <c r="C9" s="73" t="n">
        <v>304596.21</v>
      </c>
      <c r="D9" s="145" t="n">
        <v>0</v>
      </c>
      <c r="E9" s="145" t="n">
        <v>78861.78999999999</v>
      </c>
      <c r="F9" s="145" t="n">
        <v>181689.49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344</v>
      </c>
      <c r="K9" s="63">
        <f>IFERROR(E9/J9,0)</f>
        <v/>
      </c>
      <c r="L9" s="61" t="n">
        <v>21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/>
      </c>
      <c r="O9" s="172">
        <f>IFERROR(N9/SUM(J9),0)</f>
        <v/>
      </c>
      <c r="P9" s="260" t="n">
        <v>17009.91</v>
      </c>
      <c r="Q9" s="89">
        <f>SUM(P9/E9)</f>
        <v/>
      </c>
      <c r="R9" s="260" t="n">
        <v>12576.02</v>
      </c>
      <c r="S9" s="89">
        <f>SUM(R9/E9)</f>
        <v/>
      </c>
      <c r="T9" s="130" t="n">
        <v>2219.4</v>
      </c>
      <c r="U9" s="26" t="n"/>
    </row>
    <row r="10" ht="15.6" customHeight="1">
      <c r="A10" s="409" t="inlineStr">
        <is>
          <t xml:space="preserve">Waterkloof </t>
        </is>
      </c>
      <c r="B10" s="200">
        <f>'5 - 11 July 2021'!E10</f>
        <v/>
      </c>
      <c r="C10" s="73" t="n">
        <v>142718.31</v>
      </c>
      <c r="D10" s="145" t="n">
        <v>74386.99000000001</v>
      </c>
      <c r="E10" s="145" t="n">
        <v>73055.39999999999</v>
      </c>
      <c r="F10" s="145" t="n">
        <v>161710.14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306</v>
      </c>
      <c r="K10" s="63">
        <f>IFERROR(E10/J10,0)</f>
        <v/>
      </c>
      <c r="L10" s="61" t="n">
        <v>24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/>
      </c>
      <c r="O10" s="172">
        <f>IFERROR(N10/SUM(J10),0)</f>
        <v/>
      </c>
      <c r="P10" s="260" t="n">
        <v>25253.49</v>
      </c>
      <c r="Q10" s="89">
        <f>SUM(P10/E10)</f>
        <v/>
      </c>
      <c r="R10" s="260" t="n">
        <v>19476.26</v>
      </c>
      <c r="S10" s="89">
        <f>SUM(R10/E10)</f>
        <v/>
      </c>
      <c r="T10" s="130" t="n">
        <v>3003.75</v>
      </c>
      <c r="U10" s="26" t="n"/>
    </row>
    <row r="11" ht="15.6" customHeight="1">
      <c r="A11" s="409" t="inlineStr">
        <is>
          <t>Eagles Landing</t>
        </is>
      </c>
      <c r="B11" s="200">
        <f>'5 - 11 July 2021'!E11</f>
        <v/>
      </c>
      <c r="C11" s="73" t="n">
        <v>312926.61</v>
      </c>
      <c r="D11" s="145" t="n">
        <v>92576.49000000001</v>
      </c>
      <c r="E11" s="145" t="n">
        <v>123729.06</v>
      </c>
      <c r="F11" s="145" t="n">
        <v>287080.44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486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/>
      </c>
      <c r="O11" s="172">
        <f>IFERROR(N11/SUM(J11),0)</f>
        <v/>
      </c>
      <c r="P11" s="260" t="n">
        <v>46377</v>
      </c>
      <c r="Q11" s="89">
        <f>SUM(P11/E11)</f>
        <v/>
      </c>
      <c r="R11" s="260" t="n">
        <v>30822.61</v>
      </c>
      <c r="S11" s="89">
        <f>SUM(R11/E11)</f>
        <v/>
      </c>
      <c r="T11" s="130" t="n">
        <v>6371.11</v>
      </c>
      <c r="U11" s="26" t="n"/>
    </row>
    <row r="12" ht="15.6" customHeight="1">
      <c r="A12" s="198" t="inlineStr">
        <is>
          <t>Stellenbosch</t>
        </is>
      </c>
      <c r="B12" s="200">
        <f>'5 - 11 July 2021'!E12</f>
        <v/>
      </c>
      <c r="C12" s="73" t="n">
        <v>130704.48</v>
      </c>
      <c r="D12" s="145" t="n">
        <v>41476.38</v>
      </c>
      <c r="E12" s="145" t="n">
        <v>59060.2</v>
      </c>
      <c r="F12" s="145" t="n">
        <v>134627.54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251</v>
      </c>
      <c r="K12" s="63">
        <f>IFERROR(E12/J12,0)</f>
        <v/>
      </c>
      <c r="L12" s="61" t="n">
        <v>22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/>
      </c>
      <c r="O12" s="172">
        <f>IFERROR(N12/SUM(J12),0)</f>
        <v/>
      </c>
      <c r="P12" s="260" t="n">
        <v>19320.25</v>
      </c>
      <c r="Q12" s="89">
        <f>SUM(P12/E12)</f>
        <v/>
      </c>
      <c r="R12" s="260" t="n">
        <v>7322.32</v>
      </c>
      <c r="S12" s="89">
        <f>SUM(R12/E12)</f>
        <v/>
      </c>
      <c r="T12" s="130" t="n">
        <v>3772.3</v>
      </c>
      <c r="U12" s="26" t="n"/>
    </row>
    <row r="13" ht="15.6" customHeight="1">
      <c r="A13" s="198" t="inlineStr">
        <is>
          <t>Lynnwood</t>
        </is>
      </c>
      <c r="B13" s="200">
        <f>'5 - 11 July 2021'!E13</f>
        <v/>
      </c>
      <c r="C13" s="73" t="n">
        <v>187064.58</v>
      </c>
      <c r="D13" s="145" t="n">
        <v>89704.17</v>
      </c>
      <c r="E13" s="145" t="n">
        <v>117167.6</v>
      </c>
      <c r="F13" s="145" t="n">
        <v>268809.98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495</v>
      </c>
      <c r="K13" s="63">
        <f>IFERROR(E13/J13,0)</f>
        <v/>
      </c>
      <c r="L13" s="61" t="n">
        <v>44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/>
      </c>
      <c r="O13" s="172">
        <f>IFERROR(N13/SUM(J13),0)</f>
        <v/>
      </c>
      <c r="P13" s="260" t="n">
        <v>39225.74</v>
      </c>
      <c r="Q13" s="89">
        <f>SUM(P13/E13)</f>
        <v/>
      </c>
      <c r="R13" s="260" t="n">
        <v>28636.2</v>
      </c>
      <c r="S13" s="89">
        <f>SUM(R13/E13)</f>
        <v/>
      </c>
      <c r="T13" s="130" t="n">
        <v>3362</v>
      </c>
      <c r="U13" s="26" t="n"/>
    </row>
    <row r="14" hidden="1" ht="15.6" customHeight="1">
      <c r="A14" s="198" t="inlineStr">
        <is>
          <t>Wellington</t>
        </is>
      </c>
      <c r="B14" s="200">
        <f>'5 - 11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'5 - 11 July 2021'!E15</f>
        <v/>
      </c>
      <c r="C15" s="73" t="n">
        <v>151349.99</v>
      </c>
      <c r="D15" s="145" t="n">
        <v>57907.26</v>
      </c>
      <c r="E15" s="145" t="n">
        <v>108441.6</v>
      </c>
      <c r="F15" s="145" t="n">
        <v>189086.47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32779.13</v>
      </c>
      <c r="S15" s="89">
        <f>SUM(R15/E15)</f>
        <v/>
      </c>
      <c r="T15" s="130" t="n">
        <v>2946.6</v>
      </c>
      <c r="U15" s="9" t="n"/>
    </row>
    <row r="16" ht="15.6" customHeight="1">
      <c r="A16" s="198" t="inlineStr">
        <is>
          <t>Kyalami Corner</t>
        </is>
      </c>
      <c r="B16" s="200">
        <f>'5 - 11 July 2021'!E16</f>
        <v/>
      </c>
      <c r="C16" s="73" t="n">
        <v>115444.65</v>
      </c>
      <c r="D16" s="145" t="n">
        <v>46581.21</v>
      </c>
      <c r="E16" s="145" t="n">
        <v>58555.33</v>
      </c>
      <c r="F16" s="145" t="n">
        <v>156927.72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262</v>
      </c>
      <c r="K16" s="63">
        <f>IFERROR(E16/J16,0)</f>
        <v/>
      </c>
      <c r="L16" s="61" t="n">
        <v>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/>
      </c>
      <c r="O16" s="172">
        <f>IFERROR(N16/SUM(J16),0)</f>
        <v/>
      </c>
      <c r="P16" s="260" t="n">
        <v>25192.84</v>
      </c>
      <c r="Q16" s="89">
        <f>SUM(P16/E16)</f>
        <v/>
      </c>
      <c r="R16" s="260" t="n">
        <v>19896</v>
      </c>
      <c r="S16" s="89">
        <f>SUM(R16/E16)</f>
        <v/>
      </c>
      <c r="T16" s="130" t="n">
        <v>1699.3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'5 - 11 July 2021'!E17</f>
        <v/>
      </c>
      <c r="C17" s="73" t="n">
        <v>188856.74</v>
      </c>
      <c r="D17" s="145" t="n">
        <v>71151.03</v>
      </c>
      <c r="E17" s="145" t="n">
        <v>67441.92</v>
      </c>
      <c r="F17" s="145" t="n">
        <v>181044.24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313</v>
      </c>
      <c r="K17" s="63">
        <f>IFERROR(E17/J17,0)</f>
        <v/>
      </c>
      <c r="L17" s="61" t="n">
        <v>24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/>
      </c>
      <c r="O17" s="172">
        <f>IFERROR(N17/SUM(J17),0)</f>
        <v/>
      </c>
      <c r="P17" s="260" t="n">
        <v>33304.58</v>
      </c>
      <c r="Q17" s="89">
        <f>SUM(P17/E17)</f>
        <v/>
      </c>
      <c r="R17" s="260" t="n">
        <v>9832.040000000001</v>
      </c>
      <c r="S17" s="89">
        <f>SUM(R17/E17)</f>
        <v/>
      </c>
      <c r="T17" s="130" t="n">
        <v>3057</v>
      </c>
      <c r="U17" s="9" t="n"/>
    </row>
    <row r="18" ht="15.6" customHeight="1">
      <c r="A18" s="198" t="inlineStr">
        <is>
          <t>Queenswood</t>
        </is>
      </c>
      <c r="B18" s="200">
        <f>'5 - 11 July 2021'!E18</f>
        <v/>
      </c>
      <c r="C18" s="73" t="n">
        <v>160386.38</v>
      </c>
      <c r="D18" s="73" t="n">
        <v>59731.77</v>
      </c>
      <c r="E18" s="145" t="n">
        <v>75582.53999999999</v>
      </c>
      <c r="F18" s="145" t="n">
        <v>117128.35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345</v>
      </c>
      <c r="K18" s="63">
        <f>IFERROR(E18/J18,0)</f>
        <v/>
      </c>
      <c r="L18" s="61" t="n">
        <v>53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/>
      </c>
      <c r="O18" s="172">
        <f>IFERROR(N18/SUM(J18),0)</f>
        <v/>
      </c>
      <c r="P18" s="260" t="n">
        <v>26707.48</v>
      </c>
      <c r="Q18" s="89">
        <f>SUM(P18/E18)</f>
        <v/>
      </c>
      <c r="R18" s="260" t="n">
        <v>11549.87</v>
      </c>
      <c r="S18" s="89">
        <f>SUM(R18/E18)</f>
        <v/>
      </c>
      <c r="T18" s="130" t="n">
        <v>1817.7</v>
      </c>
      <c r="U18" s="9" t="n"/>
    </row>
    <row r="19" hidden="1" ht="16.2" customHeight="1" thickBot="1">
      <c r="A19" s="203" t="inlineStr">
        <is>
          <t>Centurion</t>
        </is>
      </c>
      <c r="B19" s="201">
        <f>'23 - 29 Nov 2020'!D19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'12 - 18 July 2021'!E6</f>
        <v/>
      </c>
      <c r="C6" s="255" t="n">
        <v>271945.84</v>
      </c>
      <c r="D6" s="197" t="n">
        <v>94828.28</v>
      </c>
      <c r="E6" s="123" t="n">
        <v>120487.58</v>
      </c>
      <c r="F6" s="197" t="n">
        <v>348396.55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476</v>
      </c>
      <c r="K6" s="63">
        <f>IFERROR(E6/J6,0)</f>
        <v/>
      </c>
      <c r="L6" s="125" t="n">
        <v>13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/>
      </c>
      <c r="O6" s="171">
        <f>IFERROR(N6/SUM(J6),0)</f>
        <v/>
      </c>
      <c r="P6" s="259" t="n">
        <v>24122.83</v>
      </c>
      <c r="Q6" s="128">
        <f>SUM(P6/E6)</f>
        <v/>
      </c>
      <c r="R6" s="260" t="n">
        <v>22596.04</v>
      </c>
      <c r="S6" s="128">
        <f>SUM(R6/E6)</f>
        <v/>
      </c>
      <c r="T6" s="129" t="n">
        <v>6512.1</v>
      </c>
      <c r="U6" s="26" t="n"/>
    </row>
    <row r="7" ht="15.6" customHeight="1">
      <c r="A7" s="409" t="inlineStr">
        <is>
          <t>Melrose Arch</t>
        </is>
      </c>
      <c r="B7" s="200">
        <f>'12 - 18 July 2021'!E7</f>
        <v/>
      </c>
      <c r="C7" s="73" t="n">
        <v>260258.72</v>
      </c>
      <c r="D7" s="145" t="n">
        <v>70362.24000000001</v>
      </c>
      <c r="E7" s="145" t="n">
        <v>65479.86</v>
      </c>
      <c r="F7" s="145" t="n">
        <v>163812.39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270</v>
      </c>
      <c r="K7" s="63">
        <f>IFERROR(E7/J7,0)</f>
        <v/>
      </c>
      <c r="L7" s="61" t="n">
        <v>32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/>
      </c>
      <c r="O7" s="172">
        <f>IFERROR(N7/SUM(J7),0)</f>
        <v/>
      </c>
      <c r="P7" s="260" t="n">
        <v>24658.77</v>
      </c>
      <c r="Q7" s="89">
        <f>SUM(P7/E7)</f>
        <v/>
      </c>
      <c r="R7" s="260" t="n">
        <v>12806.59</v>
      </c>
      <c r="S7" s="89">
        <f>SUM(R7/E7)</f>
        <v/>
      </c>
      <c r="T7" s="130" t="n">
        <v>2854.8</v>
      </c>
      <c r="U7" s="26" t="n"/>
    </row>
    <row r="8" ht="15.6" customHeight="1">
      <c r="A8" s="409" t="inlineStr">
        <is>
          <t>Melville</t>
        </is>
      </c>
      <c r="B8" s="200">
        <f>'12 - 18 July 2021'!E8</f>
        <v/>
      </c>
      <c r="C8" s="73" t="n">
        <v>125957.48</v>
      </c>
      <c r="D8" s="145" t="n">
        <v>58768.38</v>
      </c>
      <c r="E8" s="145" t="n">
        <v>69384.67999999999</v>
      </c>
      <c r="F8" s="145" t="n">
        <v>223095.21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327</v>
      </c>
      <c r="K8" s="63">
        <f>IFERROR(E8/J8,0)</f>
        <v/>
      </c>
      <c r="L8" s="61" t="n">
        <v>20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/>
      </c>
      <c r="O8" s="172">
        <f>IFERROR(N8/SUM(J8),0)</f>
        <v/>
      </c>
      <c r="P8" s="260" t="n">
        <v>36365.03</v>
      </c>
      <c r="Q8" s="89">
        <f>SUM(P8/E8)</f>
        <v/>
      </c>
      <c r="R8" s="260" t="n">
        <v>14674.87</v>
      </c>
      <c r="S8" s="89">
        <f>SUM(R8/E8)</f>
        <v/>
      </c>
      <c r="T8" s="130" t="n">
        <v>1989.5</v>
      </c>
      <c r="U8" s="26" t="n"/>
    </row>
    <row r="9" ht="15.6" customHeight="1">
      <c r="A9" s="409" t="inlineStr">
        <is>
          <t>Rosebank</t>
        </is>
      </c>
      <c r="B9" s="200">
        <f>'12 - 18 July 2021'!E9</f>
        <v/>
      </c>
      <c r="C9" s="73" t="n">
        <v>342049.35</v>
      </c>
      <c r="D9" s="145" t="n">
        <v>0</v>
      </c>
      <c r="E9" s="145" t="n">
        <v>93343.71000000001</v>
      </c>
      <c r="F9" s="145" t="n">
        <v>275033.2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388</v>
      </c>
      <c r="K9" s="63">
        <f>IFERROR(E9/J9,0)</f>
        <v/>
      </c>
      <c r="L9" s="61" t="n">
        <v>28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/>
      </c>
      <c r="O9" s="172">
        <f>IFERROR(N9/SUM(J9),0)</f>
        <v/>
      </c>
      <c r="P9" s="260" t="n">
        <v>20925.43</v>
      </c>
      <c r="Q9" s="89">
        <f>SUM(P9/E9)</f>
        <v/>
      </c>
      <c r="R9" s="260" t="n">
        <v>13315.45</v>
      </c>
      <c r="S9" s="89">
        <f>SUM(R9/E9)</f>
        <v/>
      </c>
      <c r="T9" s="130" t="n">
        <v>3103.77</v>
      </c>
      <c r="U9" s="26" t="n"/>
    </row>
    <row r="10" ht="15.6" customHeight="1">
      <c r="A10" s="409" t="inlineStr">
        <is>
          <t xml:space="preserve">Waterkloof </t>
        </is>
      </c>
      <c r="B10" s="200">
        <f>'12 - 18 July 2021'!E10</f>
        <v/>
      </c>
      <c r="C10" s="73" t="n">
        <v>164093.67</v>
      </c>
      <c r="D10" s="145" t="n">
        <v>74596.09</v>
      </c>
      <c r="E10" s="145" t="n">
        <v>82429.22</v>
      </c>
      <c r="F10" s="145" t="n">
        <v>244139.36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325</v>
      </c>
      <c r="K10" s="63">
        <f>IFERROR(E10/J10,0)</f>
        <v/>
      </c>
      <c r="L10" s="61" t="n">
        <v>23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/>
      </c>
      <c r="O10" s="172">
        <f>IFERROR(N10/SUM(J10),0)</f>
        <v/>
      </c>
      <c r="P10" s="260" t="n">
        <v>26258.43</v>
      </c>
      <c r="Q10" s="89">
        <f>SUM(P10/E10)</f>
        <v/>
      </c>
      <c r="R10" s="260" t="n">
        <v>22225.19</v>
      </c>
      <c r="S10" s="89">
        <f>SUM(R10/E10)</f>
        <v/>
      </c>
      <c r="T10" s="130" t="n">
        <v>1913.2</v>
      </c>
      <c r="U10" s="26" t="n"/>
    </row>
    <row r="11" ht="15.6" customHeight="1">
      <c r="A11" s="409" t="inlineStr">
        <is>
          <t>Eagles Landing</t>
        </is>
      </c>
      <c r="B11" s="200">
        <f>'12 - 18 July 2021'!E11</f>
        <v/>
      </c>
      <c r="C11" s="73" t="n">
        <v>353967.18</v>
      </c>
      <c r="D11" s="145" t="n">
        <v>116729.46</v>
      </c>
      <c r="E11" s="145" t="n">
        <v>144846.87</v>
      </c>
      <c r="F11" s="145" t="n">
        <v>431927.31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625</v>
      </c>
      <c r="K11" s="63">
        <f>IFERROR(E11/J11,0)</f>
        <v/>
      </c>
      <c r="L11" s="61" t="n">
        <v>70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/>
      </c>
      <c r="O11" s="172">
        <f>IFERROR(N11/SUM(J11),0)</f>
        <v/>
      </c>
      <c r="P11" s="260" t="n">
        <v>45863.89</v>
      </c>
      <c r="Q11" s="89">
        <f>SUM(P11/E11)</f>
        <v/>
      </c>
      <c r="R11" s="260" t="n">
        <v>33949.96</v>
      </c>
      <c r="S11" s="89">
        <f>SUM(R11/E11)</f>
        <v/>
      </c>
      <c r="T11" s="130" t="n">
        <v>6456.78</v>
      </c>
      <c r="U11" s="26" t="n"/>
    </row>
    <row r="12" ht="15.6" customHeight="1">
      <c r="A12" s="198" t="inlineStr">
        <is>
          <t>Stellenbosch</t>
        </is>
      </c>
      <c r="B12" s="200">
        <f>'12 - 18 July 2021'!E12</f>
        <v/>
      </c>
      <c r="C12" s="73" t="n">
        <v>130324.8</v>
      </c>
      <c r="D12" s="145" t="n">
        <v>49044.45</v>
      </c>
      <c r="E12" s="145" t="n">
        <v>71162.13</v>
      </c>
      <c r="F12" s="145" t="n">
        <v>205789.67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280</v>
      </c>
      <c r="K12" s="63">
        <f>IFERROR(E12/J12,0)</f>
        <v/>
      </c>
      <c r="L12" s="61" t="n">
        <v>33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/>
      </c>
      <c r="O12" s="172">
        <f>IFERROR(N12/SUM(J12),0)</f>
        <v/>
      </c>
      <c r="P12" s="260" t="n">
        <v>20962.22</v>
      </c>
      <c r="Q12" s="89">
        <f>SUM(P12/E12)</f>
        <v/>
      </c>
      <c r="R12" s="260" t="n">
        <v>14103.96</v>
      </c>
      <c r="S12" s="89">
        <f>SUM(R12/E12)</f>
        <v/>
      </c>
      <c r="T12" s="130" t="n">
        <v>5160.55</v>
      </c>
      <c r="U12" s="26" t="n"/>
    </row>
    <row r="13" ht="15.6" customHeight="1">
      <c r="A13" s="198" t="inlineStr">
        <is>
          <t>Lynnwood</t>
        </is>
      </c>
      <c r="B13" s="200">
        <f>'12 - 18 July 2021'!E13</f>
        <v/>
      </c>
      <c r="C13" s="73" t="n">
        <v>212060.52</v>
      </c>
      <c r="D13" s="145" t="n">
        <v>92021.60000000001</v>
      </c>
      <c r="E13" s="145" t="n">
        <v>130900.28</v>
      </c>
      <c r="F13" s="145" t="n">
        <v>399710.26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579</v>
      </c>
      <c r="K13" s="63">
        <f>IFERROR(E13/J13,0)</f>
        <v/>
      </c>
      <c r="L13" s="61" t="n">
        <v>60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/>
      </c>
      <c r="O13" s="172">
        <f>IFERROR(N13/SUM(J13),0)</f>
        <v/>
      </c>
      <c r="P13" s="260" t="n">
        <v>38956.25</v>
      </c>
      <c r="Q13" s="89">
        <f>SUM(P13/E13)</f>
        <v/>
      </c>
      <c r="R13" s="260" t="n">
        <v>31843.58</v>
      </c>
      <c r="S13" s="89">
        <f>SUM(R13/E13)</f>
        <v/>
      </c>
      <c r="T13" s="130" t="n">
        <v>2220</v>
      </c>
      <c r="U13" s="26" t="n"/>
    </row>
    <row r="14" hidden="1" ht="15.6" customHeight="1">
      <c r="A14" s="198" t="inlineStr">
        <is>
          <t>Wellington</t>
        </is>
      </c>
      <c r="B14" s="200">
        <f>'12 - 18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'12 - 18 July 2021'!E15</f>
        <v/>
      </c>
      <c r="C15" s="73" t="n">
        <v>129536.18</v>
      </c>
      <c r="D15" s="145" t="n">
        <v>60590.68</v>
      </c>
      <c r="E15" s="145" t="n">
        <v>87330.55</v>
      </c>
      <c r="F15" s="145" t="n">
        <v>276417.02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316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22413.04</v>
      </c>
      <c r="S15" s="89">
        <f>SUM(R15/E15)</f>
        <v/>
      </c>
      <c r="T15" s="130" t="n">
        <v>1913.4</v>
      </c>
      <c r="U15" s="9" t="n"/>
    </row>
    <row r="16" ht="15.6" customHeight="1">
      <c r="A16" s="198" t="inlineStr">
        <is>
          <t>Kyalami Corner</t>
        </is>
      </c>
      <c r="B16" s="200">
        <f>'12 - 18 July 2021'!E16</f>
        <v/>
      </c>
      <c r="C16" s="73" t="n">
        <v>113373.11</v>
      </c>
      <c r="D16" s="145" t="n">
        <v>45783.2</v>
      </c>
      <c r="E16" s="145" t="n">
        <v>76572.35000000001</v>
      </c>
      <c r="F16" s="145" t="n">
        <v>233500.07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333</v>
      </c>
      <c r="K16" s="63">
        <f>IFERROR(E16/J16,0)</f>
        <v/>
      </c>
      <c r="L16" s="61" t="n">
        <v>12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/>
      </c>
      <c r="O16" s="172">
        <f>IFERROR(N16/SUM(J16),0)</f>
        <v/>
      </c>
      <c r="P16" s="260" t="n">
        <v>30444.01</v>
      </c>
      <c r="Q16" s="89">
        <f>SUM(P16/E16)</f>
        <v/>
      </c>
      <c r="R16" s="260" t="n">
        <v>23231.65</v>
      </c>
      <c r="S16" s="89">
        <f>SUM(R16/E16)</f>
        <v/>
      </c>
      <c r="T16" s="130" t="n">
        <v>3380.9</v>
      </c>
      <c r="U16" s="9" t="n"/>
      <c r="X16" s="238" t="n"/>
    </row>
    <row r="17" ht="15.6" customHeight="1">
      <c r="A17" s="198" t="inlineStr">
        <is>
          <t>Paulshof</t>
        </is>
      </c>
      <c r="B17" s="200">
        <f>'12 - 18 July 2021'!E17</f>
        <v/>
      </c>
      <c r="C17" s="73" t="n">
        <v>198530.03</v>
      </c>
      <c r="D17" s="145" t="n">
        <v>67674.37</v>
      </c>
      <c r="E17" s="145" t="n">
        <v>77712.2</v>
      </c>
      <c r="F17" s="145" t="n">
        <v>258756.44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358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/>
      </c>
      <c r="O17" s="172">
        <f>IFERROR(N17/SUM(J17),0)</f>
        <v/>
      </c>
      <c r="P17" s="260" t="n">
        <v>28122.3</v>
      </c>
      <c r="Q17" s="89">
        <f>SUM(P17/E17)</f>
        <v/>
      </c>
      <c r="R17" s="260" t="n">
        <v>12922.14</v>
      </c>
      <c r="S17" s="89">
        <f>SUM(R17/E17)</f>
        <v/>
      </c>
      <c r="T17" s="130" t="n">
        <v>3479</v>
      </c>
      <c r="U17" s="9" t="n"/>
    </row>
    <row r="18" ht="15.6" customHeight="1">
      <c r="A18" s="198" t="inlineStr">
        <is>
          <t>Queenswood</t>
        </is>
      </c>
      <c r="B18" s="200">
        <f>'12 - 18 July 2021'!E18</f>
        <v/>
      </c>
      <c r="C18" s="73" t="n">
        <v>162511.62</v>
      </c>
      <c r="D18" s="73" t="n">
        <v>75604.86</v>
      </c>
      <c r="E18" s="145" t="n">
        <v>92850.36</v>
      </c>
      <c r="F18" s="145" t="n">
        <v>269978.71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377</v>
      </c>
      <c r="K18" s="63">
        <f>IFERROR(E18/J18,0)</f>
        <v/>
      </c>
      <c r="L18" s="61" t="n">
        <v>58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/>
      </c>
      <c r="O18" s="172">
        <f>IFERROR(N18/SUM(J18),0)</f>
        <v/>
      </c>
      <c r="P18" s="260" t="n">
        <v>32920.39</v>
      </c>
      <c r="Q18" s="89">
        <f>SUM(P18/E18)</f>
        <v/>
      </c>
      <c r="R18" s="260" t="n">
        <v>13292.77</v>
      </c>
      <c r="S18" s="89">
        <f>SUM(R18/E18)</f>
        <v/>
      </c>
      <c r="T18" s="130" t="n">
        <v>1608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115" t="n">
        <v>0</v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'19 - 25 July 2021'!E6</f>
        <v/>
      </c>
      <c r="C6" s="255" t="n">
        <v>261957.32</v>
      </c>
      <c r="D6" s="197" t="n">
        <v>113180.17</v>
      </c>
      <c r="E6" s="123" t="n">
        <v>176130.36</v>
      </c>
      <c r="F6" s="197" t="n">
        <v>38804.39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637</v>
      </c>
      <c r="K6" s="63">
        <f>IFERROR(E6/J6,0)</f>
        <v/>
      </c>
      <c r="L6" s="125" t="n">
        <v>23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/>
      </c>
      <c r="O6" s="171">
        <f>IFERROR(N6/SUM(J6),0)</f>
        <v/>
      </c>
      <c r="P6" s="259" t="n">
        <v>35228.61</v>
      </c>
      <c r="Q6" s="128">
        <f>SUM(P6/E6)</f>
        <v/>
      </c>
      <c r="R6" s="260" t="n">
        <v>11489.09</v>
      </c>
      <c r="S6" s="128">
        <f>SUM(R6/E6)</f>
        <v/>
      </c>
      <c r="T6" s="129" t="n">
        <v>10655</v>
      </c>
      <c r="U6" s="26" t="n"/>
    </row>
    <row r="7" ht="15.6" customHeight="1">
      <c r="A7" s="409" t="inlineStr">
        <is>
          <t>Melrose Arch</t>
        </is>
      </c>
      <c r="B7" s="200">
        <f>'19 - 25 July 2021'!E7</f>
        <v/>
      </c>
      <c r="C7" s="73" t="n">
        <v>212110.67</v>
      </c>
      <c r="D7" s="145" t="n">
        <v>95683.98</v>
      </c>
      <c r="E7" s="145" t="n">
        <v>125875.45</v>
      </c>
      <c r="F7" s="145" t="n">
        <v>18942.6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409</v>
      </c>
      <c r="K7" s="63">
        <f>IFERROR(E7/J7,0)</f>
        <v/>
      </c>
      <c r="L7" s="61" t="n">
        <v>36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/>
      </c>
      <c r="O7" s="172">
        <f>IFERROR(N7/SUM(J7),0)</f>
        <v/>
      </c>
      <c r="P7" s="260" t="n">
        <v>25997.95</v>
      </c>
      <c r="Q7" s="89">
        <f>SUM(P7/E7)</f>
        <v/>
      </c>
      <c r="R7" s="260" t="n">
        <v>13668.48</v>
      </c>
      <c r="S7" s="89">
        <f>SUM(R7/E7)</f>
        <v/>
      </c>
      <c r="T7" s="130" t="n">
        <v>6193.68</v>
      </c>
      <c r="U7" s="26" t="n"/>
    </row>
    <row r="8" ht="15.6" customHeight="1">
      <c r="A8" s="409" t="inlineStr">
        <is>
          <t>Melville</t>
        </is>
      </c>
      <c r="B8" s="200">
        <f>'19 - 25 July 2021'!E8</f>
        <v/>
      </c>
      <c r="C8" s="73" t="n">
        <v>132507.6</v>
      </c>
      <c r="D8" s="145" t="n">
        <v>73006.92</v>
      </c>
      <c r="E8" s="145" t="n">
        <v>108071.58</v>
      </c>
      <c r="F8" s="145" t="n">
        <v>17465.61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432</v>
      </c>
      <c r="K8" s="63">
        <f>IFERROR(E8/J8,0)</f>
        <v/>
      </c>
      <c r="L8" s="61" t="n">
        <v>13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/>
      </c>
      <c r="O8" s="172">
        <f>IFERROR(N8/SUM(J8),0)</f>
        <v/>
      </c>
      <c r="P8" s="260" t="n">
        <v>46285.22</v>
      </c>
      <c r="Q8" s="89">
        <f>SUM(P8/E8)</f>
        <v/>
      </c>
      <c r="R8" s="260" t="n">
        <v>14208.52</v>
      </c>
      <c r="S8" s="89">
        <f>SUM(R8/E8)</f>
        <v/>
      </c>
      <c r="T8" s="130" t="n">
        <v>2093</v>
      </c>
      <c r="U8" s="26" t="n"/>
    </row>
    <row r="9" ht="15.6" customHeight="1">
      <c r="A9" s="409" t="inlineStr">
        <is>
          <t>Rosebank</t>
        </is>
      </c>
      <c r="B9" s="200">
        <f>'19 - 25 July 2021'!E9</f>
        <v/>
      </c>
      <c r="C9" s="73" t="n">
        <v>347205.66</v>
      </c>
      <c r="D9" s="145" t="n">
        <v>0</v>
      </c>
      <c r="E9" s="145" t="n">
        <v>178233.72</v>
      </c>
      <c r="F9" s="145" t="n">
        <v>34581.75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665</v>
      </c>
      <c r="K9" s="63">
        <f>IFERROR(E9/J9,0)</f>
        <v/>
      </c>
      <c r="L9" s="61" t="n">
        <v>40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/>
      </c>
      <c r="O9" s="172">
        <f>IFERROR(N9/SUM(J9),0)</f>
        <v/>
      </c>
      <c r="P9" s="260" t="n">
        <v>30596.87</v>
      </c>
      <c r="Q9" s="89">
        <f>SUM(P9/E9)</f>
        <v/>
      </c>
      <c r="R9" s="260" t="n">
        <v>10012.57</v>
      </c>
      <c r="S9" s="89">
        <f>SUM(R9/E9)</f>
        <v/>
      </c>
      <c r="T9" s="130" t="n">
        <v>3734.65</v>
      </c>
      <c r="U9" s="26" t="n"/>
    </row>
    <row r="10" ht="15.6" customHeight="1">
      <c r="A10" s="409" t="inlineStr">
        <is>
          <t xml:space="preserve">Waterkloof </t>
        </is>
      </c>
      <c r="B10" s="200">
        <f>'19 - 25 July 2021'!E10</f>
        <v/>
      </c>
      <c r="C10" s="73" t="n">
        <v>139006.44</v>
      </c>
      <c r="D10" s="145" t="n">
        <v>99765.32000000001</v>
      </c>
      <c r="E10" s="145" t="n">
        <v>108477.81</v>
      </c>
      <c r="F10" s="145" t="n">
        <v>19299.21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423</v>
      </c>
      <c r="K10" s="63">
        <f>IFERROR(E10/J10,0)</f>
        <v/>
      </c>
      <c r="L10" s="61" t="n">
        <v>15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/>
      </c>
      <c r="O10" s="172">
        <f>IFERROR(N10/SUM(J10),0)</f>
        <v/>
      </c>
      <c r="P10" s="260" t="n">
        <v>29518.29</v>
      </c>
      <c r="Q10" s="89">
        <f>SUM(P10/E10)</f>
        <v/>
      </c>
      <c r="R10" s="260" t="n">
        <v>20279.1</v>
      </c>
      <c r="S10" s="89">
        <f>SUM(R10/E10)</f>
        <v/>
      </c>
      <c r="T10" s="130" t="n">
        <v>2992.1</v>
      </c>
      <c r="U10" s="26" t="n"/>
    </row>
    <row r="11" ht="15.6" customHeight="1">
      <c r="A11" s="409" t="inlineStr">
        <is>
          <t>Eagles Landing</t>
        </is>
      </c>
      <c r="B11" s="200">
        <f>'19 - 25 July 2021'!E11</f>
        <v/>
      </c>
      <c r="C11" s="73" t="n">
        <v>363089.6</v>
      </c>
      <c r="D11" s="145" t="n">
        <v>124064.25</v>
      </c>
      <c r="E11" s="145" t="n">
        <v>238834.43</v>
      </c>
      <c r="F11" s="145" t="n">
        <v>36527.16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823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/>
      </c>
      <c r="O11" s="172">
        <f>IFERROR(N11/SUM(J11),0)</f>
        <v/>
      </c>
      <c r="P11" s="260" t="n">
        <v>47540.77</v>
      </c>
      <c r="Q11" s="89">
        <f>SUM(P11/E11)</f>
        <v/>
      </c>
      <c r="R11" s="260" t="n">
        <v>31140</v>
      </c>
      <c r="S11" s="89">
        <f>SUM(R11/E11)</f>
        <v/>
      </c>
      <c r="T11" s="130" t="n">
        <v>10634.41</v>
      </c>
      <c r="U11" s="26" t="n"/>
    </row>
    <row r="12" ht="15.6" customHeight="1">
      <c r="A12" s="198" t="inlineStr">
        <is>
          <t>Stellenbosch</t>
        </is>
      </c>
      <c r="B12" s="200">
        <f>'19 - 25 July 2021'!E12</f>
        <v/>
      </c>
      <c r="C12" s="73" t="n">
        <v>157461.4</v>
      </c>
      <c r="D12" s="145" t="n">
        <v>55893.07</v>
      </c>
      <c r="E12" s="145" t="n">
        <v>100052.68</v>
      </c>
      <c r="F12" s="145" t="n">
        <v>17019.34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363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/>
      </c>
      <c r="O12" s="172">
        <f>IFERROR(N12/SUM(J12),0)</f>
        <v/>
      </c>
      <c r="P12" s="260" t="n">
        <v>19465.78</v>
      </c>
      <c r="Q12" s="89">
        <f>SUM(P12/E12)</f>
        <v/>
      </c>
      <c r="R12" s="260" t="n">
        <v>17887.83</v>
      </c>
      <c r="S12" s="89">
        <f>SUM(R12/E12)</f>
        <v/>
      </c>
      <c r="T12" s="130" t="n">
        <v>4096.8</v>
      </c>
      <c r="U12" s="26" t="n"/>
    </row>
    <row r="13" ht="15.6" customHeight="1">
      <c r="A13" s="198" t="inlineStr">
        <is>
          <t>Lynnwood</t>
        </is>
      </c>
      <c r="B13" s="200">
        <f>'19 - 25 July 2021'!E13</f>
        <v/>
      </c>
      <c r="C13" s="73" t="n">
        <v>216093.02</v>
      </c>
      <c r="D13" s="145" t="n">
        <v>115238.2</v>
      </c>
      <c r="E13" s="145" t="n">
        <v>197544.45</v>
      </c>
      <c r="F13" s="145" t="n">
        <v>23395.93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746</v>
      </c>
      <c r="K13" s="63">
        <f>IFERROR(E13/J13,0)</f>
        <v/>
      </c>
      <c r="L13" s="61" t="n">
        <v>56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/>
      </c>
      <c r="O13" s="172">
        <f>IFERROR(N13/SUM(J13),0)</f>
        <v/>
      </c>
      <c r="P13" s="260" t="n">
        <v>38963.88</v>
      </c>
      <c r="Q13" s="89">
        <f>SUM(P13/E13)</f>
        <v/>
      </c>
      <c r="R13" s="260" t="n">
        <v>31330.12</v>
      </c>
      <c r="S13" s="89">
        <f>SUM(R13/E13)</f>
        <v/>
      </c>
      <c r="T13" s="130" t="n">
        <v>4350</v>
      </c>
      <c r="U13" s="26" t="n"/>
    </row>
    <row r="14" hidden="1" ht="15.6" customHeight="1">
      <c r="A14" s="198" t="inlineStr">
        <is>
          <t>Wellington</t>
        </is>
      </c>
      <c r="B14" s="200">
        <f>'19 - 25 July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'19 - 25 July 2021'!E15</f>
        <v/>
      </c>
      <c r="C15" s="73" t="n">
        <v>137311.25</v>
      </c>
      <c r="D15" s="145" t="n">
        <v>79999.16</v>
      </c>
      <c r="E15" s="145" t="n">
        <v>116789.49</v>
      </c>
      <c r="F15" s="145" t="n">
        <v>18216.02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411</v>
      </c>
      <c r="K15" s="63">
        <f>IFERROR(E15/J15,0)</f>
        <v/>
      </c>
      <c r="L15" s="61" t="n">
        <v>48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18833.91</v>
      </c>
      <c r="S15" s="89">
        <f>SUM(R15/E15)</f>
        <v/>
      </c>
      <c r="T15" s="130" t="n">
        <v>2574.65</v>
      </c>
      <c r="U15" s="9" t="n"/>
    </row>
    <row r="16" ht="15.6" customHeight="1">
      <c r="A16" s="198" t="inlineStr">
        <is>
          <t>Kyalami Corner</t>
        </is>
      </c>
      <c r="B16" s="200">
        <f>'19 - 25 July 2021'!E16</f>
        <v/>
      </c>
      <c r="C16" s="73" t="n">
        <v>126564.93</v>
      </c>
      <c r="D16" s="145" t="n">
        <v>62056.69</v>
      </c>
      <c r="E16" s="145" t="n">
        <v>118177.43</v>
      </c>
      <c r="F16" s="145" t="n">
        <v>13964.73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/>
      </c>
      <c r="O16" s="172">
        <f>IFERROR(N16/SUM(J16),0)</f>
        <v/>
      </c>
      <c r="P16" s="260" t="n">
        <v>37603.57</v>
      </c>
      <c r="Q16" s="89">
        <f>SUM(P16/E16)</f>
        <v/>
      </c>
      <c r="R16" s="260" t="n">
        <v>22377.48</v>
      </c>
      <c r="S16" s="89">
        <f>SUM(R16/E16)</f>
        <v/>
      </c>
      <c r="T16" s="130" t="n">
        <v>3885.1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'19 - 25 July 2021'!E17</f>
        <v/>
      </c>
      <c r="C17" s="73" t="n">
        <v>214731.95</v>
      </c>
      <c r="D17" s="145" t="n">
        <v>92644.37</v>
      </c>
      <c r="E17" s="145" t="n">
        <v>140061.42</v>
      </c>
      <c r="F17" s="145" t="n">
        <v>19661.25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574</v>
      </c>
      <c r="K17" s="63">
        <f>IFERROR(E17/J17,0)</f>
        <v/>
      </c>
      <c r="L17" s="61" t="n">
        <v>37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/>
      </c>
      <c r="O17" s="172">
        <f>IFERROR(N17/SUM(J17),0)</f>
        <v/>
      </c>
      <c r="P17" s="260" t="n">
        <v>33735.49</v>
      </c>
      <c r="Q17" s="89">
        <f>SUM(P17/E17)</f>
        <v/>
      </c>
      <c r="R17" s="260" t="n">
        <v>25043.86</v>
      </c>
      <c r="S17" s="89">
        <f>SUM(R17/E17)</f>
        <v/>
      </c>
      <c r="T17" s="130" t="n">
        <v>4104.5</v>
      </c>
      <c r="U17" s="9" t="n"/>
    </row>
    <row r="18" ht="15.6" customHeight="1">
      <c r="A18" s="198" t="inlineStr">
        <is>
          <t>Queenswood</t>
        </is>
      </c>
      <c r="B18" s="200">
        <f>'19 - 25 July 2021'!E18</f>
        <v/>
      </c>
      <c r="C18" s="73" t="n">
        <v>162603.09</v>
      </c>
      <c r="D18" s="73" t="n">
        <v>75120.53</v>
      </c>
      <c r="E18" s="145" t="n">
        <v>141804.13</v>
      </c>
      <c r="F18" s="145" t="n">
        <v>16826.71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72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/>
      </c>
      <c r="O18" s="172">
        <f>IFERROR(N18/SUM(J18),0)</f>
        <v/>
      </c>
      <c r="P18" s="260" t="n">
        <v>34936.81</v>
      </c>
      <c r="Q18" s="89">
        <f>SUM(P18/E18)</f>
        <v/>
      </c>
      <c r="R18" s="260" t="n">
        <v>19193.33</v>
      </c>
      <c r="S18" s="89">
        <f>SUM(R18/E18)</f>
        <v/>
      </c>
      <c r="T18" s="130" t="n">
        <v>5103.5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'26 July - 1 August 2021'!E6</f>
        <v/>
      </c>
      <c r="C6" s="255" t="n">
        <v>267972.63</v>
      </c>
      <c r="D6" s="197" t="n">
        <v>112106.32</v>
      </c>
      <c r="E6" s="123" t="n">
        <v>172837.49</v>
      </c>
      <c r="F6" s="197" t="n">
        <v>211641.88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585</v>
      </c>
      <c r="K6" s="63">
        <f>IFERROR(E6/J6,0)</f>
        <v/>
      </c>
      <c r="L6" s="125" t="n">
        <v>24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/>
      </c>
      <c r="O6" s="171">
        <f>IFERROR(N6/SUM(J6),0)</f>
        <v/>
      </c>
      <c r="P6" s="259" t="n">
        <v>39291.61</v>
      </c>
      <c r="Q6" s="128">
        <f>SUM(P6/E6)</f>
        <v/>
      </c>
      <c r="R6" s="260" t="n">
        <v>6293.57</v>
      </c>
      <c r="S6" s="128">
        <f>SUM(R6/E6)</f>
        <v/>
      </c>
      <c r="T6" s="129" t="n">
        <v>3386.5</v>
      </c>
      <c r="U6" s="26" t="n"/>
    </row>
    <row r="7" ht="15.6" customHeight="1">
      <c r="A7" s="409" t="inlineStr">
        <is>
          <t>Melrose Arch</t>
        </is>
      </c>
      <c r="B7" s="200">
        <f>'26 July - 1 August 2021'!E7</f>
        <v/>
      </c>
      <c r="C7" s="73" t="n">
        <v>215626.05</v>
      </c>
      <c r="D7" s="145" t="n">
        <v>88114</v>
      </c>
      <c r="E7" s="145" t="n">
        <v>162250.41</v>
      </c>
      <c r="F7" s="145" t="n">
        <v>181192.01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574</v>
      </c>
      <c r="K7" s="63">
        <f>IFERROR(E7/J7,0)</f>
        <v/>
      </c>
      <c r="L7" s="61" t="n">
        <v>46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/>
      </c>
      <c r="O7" s="172">
        <f>IFERROR(N7/SUM(J7),0)</f>
        <v/>
      </c>
      <c r="P7" s="260" t="n">
        <v>22978.11</v>
      </c>
      <c r="Q7" s="89">
        <f>SUM(P7/E7)</f>
        <v/>
      </c>
      <c r="R7" s="260" t="n">
        <v>12212.17</v>
      </c>
      <c r="S7" s="89">
        <f>SUM(R7/E7)</f>
        <v/>
      </c>
      <c r="T7" s="130" t="n">
        <v>6032.23</v>
      </c>
      <c r="U7" s="26" t="n"/>
    </row>
    <row r="8" ht="15.6" customHeight="1">
      <c r="A8" s="409" t="inlineStr">
        <is>
          <t>Melville</t>
        </is>
      </c>
      <c r="B8" s="200">
        <f>'26 July - 1 August 2021'!E8</f>
        <v/>
      </c>
      <c r="C8" s="73" t="n">
        <v>103484.13</v>
      </c>
      <c r="D8" s="145" t="n">
        <v>61802.85</v>
      </c>
      <c r="E8" s="145" t="n">
        <v>109675.64</v>
      </c>
      <c r="F8" s="145" t="n">
        <v>127141.25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441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/>
      </c>
      <c r="O8" s="172">
        <f>IFERROR(N8/SUM(J8),0)</f>
        <v/>
      </c>
      <c r="P8" s="260" t="n">
        <v>45073.5</v>
      </c>
      <c r="Q8" s="89">
        <f>SUM(P8/E8)</f>
        <v/>
      </c>
      <c r="R8" s="260" t="n">
        <v>17777.91</v>
      </c>
      <c r="S8" s="89">
        <f>SUM(R8/E8)</f>
        <v/>
      </c>
      <c r="T8" s="130" t="n">
        <v>2954.9</v>
      </c>
      <c r="U8" s="26" t="n"/>
    </row>
    <row r="9" ht="15.6" customHeight="1">
      <c r="A9" s="409" t="inlineStr">
        <is>
          <t>Rosebank</t>
        </is>
      </c>
      <c r="B9" s="200">
        <f>'26 July - 1 August 2021'!E9</f>
        <v/>
      </c>
      <c r="C9" s="73" t="n">
        <v>317143.52</v>
      </c>
      <c r="D9" s="145" t="n">
        <v>0</v>
      </c>
      <c r="E9" s="145" t="n">
        <v>166512.56</v>
      </c>
      <c r="F9" s="145" t="n">
        <v>201094.31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652</v>
      </c>
      <c r="K9" s="63">
        <f>IFERROR(E9/J9,0)</f>
        <v/>
      </c>
      <c r="L9" s="61" t="n">
        <v>47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/>
      </c>
      <c r="O9" s="172">
        <f>IFERROR(N9/SUM(J9),0)</f>
        <v/>
      </c>
      <c r="P9" s="260" t="n">
        <v>19188.58</v>
      </c>
      <c r="Q9" s="89">
        <f>SUM(P9/E9)</f>
        <v/>
      </c>
      <c r="R9" s="260" t="n">
        <v>10501.35</v>
      </c>
      <c r="S9" s="89">
        <f>SUM(R9/E9)</f>
        <v/>
      </c>
      <c r="T9" s="130" t="n">
        <v>3759.88</v>
      </c>
      <c r="U9" s="26" t="n"/>
    </row>
    <row r="10" ht="15.6" customHeight="1">
      <c r="A10" s="409" t="inlineStr">
        <is>
          <t xml:space="preserve">Waterkloof </t>
        </is>
      </c>
      <c r="B10" s="200">
        <f>'26 July - 1 August 2021'!E10</f>
        <v/>
      </c>
      <c r="C10" s="73" t="n">
        <v>126339</v>
      </c>
      <c r="D10" s="145" t="n">
        <v>97609.38</v>
      </c>
      <c r="E10" s="145" t="n">
        <v>117926</v>
      </c>
      <c r="F10" s="145" t="n">
        <v>137225.21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400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/>
      </c>
      <c r="O10" s="172">
        <f>IFERROR(N10/SUM(J10),0)</f>
        <v/>
      </c>
      <c r="P10" s="260" t="n">
        <v>22849.28</v>
      </c>
      <c r="Q10" s="89">
        <f>SUM(P10/E10)</f>
        <v/>
      </c>
      <c r="R10" s="260" t="n">
        <v>22117.45</v>
      </c>
      <c r="S10" s="89">
        <f>SUM(R10/E10)</f>
        <v/>
      </c>
      <c r="T10" s="130" t="n">
        <v>6706.8</v>
      </c>
      <c r="U10" s="26" t="n"/>
    </row>
    <row r="11" ht="15.6" customHeight="1">
      <c r="A11" s="409" t="inlineStr">
        <is>
          <t>Eagles Landing</t>
        </is>
      </c>
      <c r="B11" s="200">
        <f>'26 July - 1 August 2021'!E11</f>
        <v/>
      </c>
      <c r="C11" s="73" t="n">
        <v>313954.43</v>
      </c>
      <c r="D11" s="145" t="n">
        <v>140006.55</v>
      </c>
      <c r="E11" s="145" t="n">
        <v>222857.07</v>
      </c>
      <c r="F11" s="145" t="n">
        <v>259384.23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804</v>
      </c>
      <c r="K11" s="63">
        <f>IFERROR(E11/J11,0)</f>
        <v/>
      </c>
      <c r="L11" s="61" t="n">
        <v>73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/>
      </c>
      <c r="O11" s="172">
        <f>IFERROR(N11/SUM(J11),0)</f>
        <v/>
      </c>
      <c r="P11" s="260" t="n">
        <v>44855.7</v>
      </c>
      <c r="Q11" s="89">
        <f>SUM(P11/E11)</f>
        <v/>
      </c>
      <c r="R11" s="260" t="n">
        <v>23340.87</v>
      </c>
      <c r="S11" s="89">
        <f>SUM(R11/E11)</f>
        <v/>
      </c>
      <c r="T11" s="130" t="n">
        <v>8143.5</v>
      </c>
      <c r="U11" s="26" t="n"/>
    </row>
    <row r="12" ht="15.6" customHeight="1">
      <c r="A12" s="198" t="inlineStr">
        <is>
          <t>Stellenbosch</t>
        </is>
      </c>
      <c r="B12" s="200">
        <f>'26 July - 1 August 2021'!E12</f>
        <v/>
      </c>
      <c r="C12" s="73" t="n">
        <v>120679.88</v>
      </c>
      <c r="D12" s="145" t="n">
        <v>55535.83</v>
      </c>
      <c r="E12" s="145" t="n">
        <v>102729.9</v>
      </c>
      <c r="F12" s="145" t="n">
        <v>119749.24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373</v>
      </c>
      <c r="K12" s="63">
        <f>IFERROR(E12/J12,0)</f>
        <v/>
      </c>
      <c r="L12" s="61" t="n">
        <v>27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/>
      </c>
      <c r="O12" s="172">
        <f>IFERROR(N12/SUM(J12),0)</f>
        <v/>
      </c>
      <c r="P12" s="260" t="n">
        <v>21948.04</v>
      </c>
      <c r="Q12" s="89">
        <f>SUM(P12/E12)</f>
        <v/>
      </c>
      <c r="R12" s="260" t="n">
        <v>12495.74</v>
      </c>
      <c r="S12" s="89">
        <f>SUM(R12/E12)</f>
        <v/>
      </c>
      <c r="T12" s="130" t="n">
        <v>6118.8</v>
      </c>
      <c r="U12" s="26" t="n"/>
    </row>
    <row r="13" ht="15.6" customHeight="1">
      <c r="A13" s="198" t="inlineStr">
        <is>
          <t>Lynnwood</t>
        </is>
      </c>
      <c r="B13" s="200">
        <f>'26 July - 1 August 2021'!E13</f>
        <v/>
      </c>
      <c r="C13" s="73" t="n">
        <v>210396.93</v>
      </c>
      <c r="D13" s="145" t="n">
        <v>98860.87</v>
      </c>
      <c r="E13" s="145" t="n">
        <v>165697.49</v>
      </c>
      <c r="F13" s="145" t="n">
        <v>189093.42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642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/>
      </c>
      <c r="O13" s="172">
        <f>IFERROR(N13/SUM(J13),0)</f>
        <v/>
      </c>
      <c r="P13" s="260" t="n">
        <v>36061.17</v>
      </c>
      <c r="Q13" s="89">
        <f>SUM(P13/E13)</f>
        <v/>
      </c>
      <c r="R13" s="260" t="n">
        <v>24502.36</v>
      </c>
      <c r="S13" s="89">
        <f>SUM(R13/E13)</f>
        <v/>
      </c>
      <c r="T13" s="130" t="n">
        <v>6420.5</v>
      </c>
      <c r="U13" s="26" t="n"/>
    </row>
    <row r="14" hidden="1" ht="15.6" customHeight="1">
      <c r="A14" s="198" t="inlineStr">
        <is>
          <t>Wellington</t>
        </is>
      </c>
      <c r="B14" s="200">
        <f>'26 July - 1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'26 July - 1 August 2021'!E15</f>
        <v/>
      </c>
      <c r="C15" s="73" t="n">
        <v>182706.98</v>
      </c>
      <c r="D15" s="145" t="n">
        <v>107151.8</v>
      </c>
      <c r="E15" s="145" t="n">
        <v>153553.33</v>
      </c>
      <c r="F15" s="145" t="n">
        <v>171769.35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473</v>
      </c>
      <c r="K15" s="63">
        <f>IFERROR(E15/J15,0)</f>
        <v/>
      </c>
      <c r="L15" s="61" t="n">
        <v>30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22673.04</v>
      </c>
      <c r="S15" s="89">
        <f>SUM(R15/E15)</f>
        <v/>
      </c>
      <c r="T15" s="130" t="n">
        <v>2597.4</v>
      </c>
      <c r="U15" s="9" t="n"/>
    </row>
    <row r="16" ht="15.6" customHeight="1">
      <c r="A16" s="198" t="inlineStr">
        <is>
          <t>Kyalami Corner</t>
        </is>
      </c>
      <c r="B16" s="200">
        <f>'26 July - 1 August 2021'!E16</f>
        <v/>
      </c>
      <c r="C16" s="73" t="n">
        <v>123420.75</v>
      </c>
      <c r="D16" s="145" t="n">
        <v>56624.28</v>
      </c>
      <c r="E16" s="145" t="n">
        <v>104945.28</v>
      </c>
      <c r="F16" s="145" t="n">
        <v>118910.01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426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/>
      </c>
      <c r="O16" s="172">
        <f>IFERROR(N16/SUM(J16),0)</f>
        <v/>
      </c>
      <c r="P16" s="260" t="n">
        <v>20650.43</v>
      </c>
      <c r="Q16" s="89">
        <f>SUM(P16/E16)</f>
        <v/>
      </c>
      <c r="R16" s="260" t="n">
        <v>16733.43</v>
      </c>
      <c r="S16" s="89">
        <f>SUM(R16/E16)</f>
        <v/>
      </c>
      <c r="T16" s="130" t="n">
        <v>5514.9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'26 July - 1 August 2021'!E17</f>
        <v/>
      </c>
      <c r="C17" s="73" t="n">
        <v>198462.73</v>
      </c>
      <c r="D17" s="145" t="n">
        <v>83224.03999999999</v>
      </c>
      <c r="E17" s="145" t="n">
        <v>132455.42</v>
      </c>
      <c r="F17" s="145" t="n">
        <v>152116.67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520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/>
      </c>
      <c r="O17" s="172">
        <f>IFERROR(N17/SUM(J17),0)</f>
        <v/>
      </c>
      <c r="P17" s="260" t="n">
        <v>24348.61</v>
      </c>
      <c r="Q17" s="89">
        <f>SUM(P17/E17)</f>
        <v/>
      </c>
      <c r="R17" s="260" t="n">
        <v>12863.62</v>
      </c>
      <c r="S17" s="89">
        <f>SUM(R17/E17)</f>
        <v/>
      </c>
      <c r="T17" s="130" t="n">
        <v>4725.5</v>
      </c>
      <c r="U17" s="9" t="n"/>
    </row>
    <row r="18" ht="15.6" customHeight="1">
      <c r="A18" s="198" t="inlineStr">
        <is>
          <t>Queenswood</t>
        </is>
      </c>
      <c r="B18" s="200">
        <f>'26 July - 1 August 2021'!E18</f>
        <v/>
      </c>
      <c r="C18" s="73" t="n">
        <v>143407</v>
      </c>
      <c r="D18" s="73" t="n">
        <v>69905.84</v>
      </c>
      <c r="E18" s="145" t="n">
        <v>119669.17</v>
      </c>
      <c r="F18" s="145" t="n">
        <v>136495.88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485</v>
      </c>
      <c r="K18" s="63">
        <f>IFERROR(E18/J18,0)</f>
        <v/>
      </c>
      <c r="L18" s="61" t="n">
        <v>83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/>
      </c>
      <c r="O18" s="172">
        <f>IFERROR(N18/SUM(J18),0)</f>
        <v/>
      </c>
      <c r="P18" s="260" t="n">
        <v>27018.51</v>
      </c>
      <c r="Q18" s="89">
        <f>SUM(P18/E18)</f>
        <v/>
      </c>
      <c r="R18" s="260" t="n">
        <v>10495.83</v>
      </c>
      <c r="S18" s="89">
        <f>SUM(R18/E18)</f>
        <v/>
      </c>
      <c r="T18" s="130" t="n">
        <v>2054.5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'2 - 8 August 2021'!E6</f>
        <v/>
      </c>
      <c r="C6" s="255" t="n">
        <v>222616.58</v>
      </c>
      <c r="D6" s="197" t="n">
        <v>145715.87</v>
      </c>
      <c r="E6" s="123" t="n">
        <v>183717.7</v>
      </c>
      <c r="F6" s="197" t="n">
        <v>395359.58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/>
      </c>
      <c r="O6" s="171">
        <f>IFERROR(N6/SUM(J6),0)</f>
        <v/>
      </c>
      <c r="P6" s="259" t="n">
        <v>48160.22</v>
      </c>
      <c r="Q6" s="128">
        <f>SUM(P6/E6)</f>
        <v/>
      </c>
      <c r="R6" s="260" t="n">
        <v>4791.7</v>
      </c>
      <c r="S6" s="128">
        <f>SUM(R6/E6)</f>
        <v/>
      </c>
      <c r="T6" s="129" t="n">
        <v>6111</v>
      </c>
      <c r="U6" s="26" t="n"/>
    </row>
    <row r="7" ht="15.6" customHeight="1">
      <c r="A7" s="409" t="inlineStr">
        <is>
          <t>Melrose Arch</t>
        </is>
      </c>
      <c r="B7" s="200">
        <f>'2 - 8 August 2021'!E7</f>
        <v/>
      </c>
      <c r="C7" s="73" t="n">
        <v>197449.78</v>
      </c>
      <c r="D7" s="145" t="n">
        <v>95568.74000000001</v>
      </c>
      <c r="E7" s="145" t="n">
        <v>145245.69</v>
      </c>
      <c r="F7" s="145" t="n">
        <v>326437.7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501</v>
      </c>
      <c r="K7" s="63">
        <f>IFERROR(E7/J7,0)</f>
        <v/>
      </c>
      <c r="L7" s="61" t="n">
        <v>54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/>
      </c>
      <c r="O7" s="172">
        <f>IFERROR(N7/SUM(J7),0)</f>
        <v/>
      </c>
      <c r="P7" s="260" t="n">
        <v>22357.52</v>
      </c>
      <c r="Q7" s="89">
        <f>SUM(P7/E7)</f>
        <v/>
      </c>
      <c r="R7" s="260" t="n">
        <v>7370.7</v>
      </c>
      <c r="S7" s="89">
        <f>SUM(R7/E7)</f>
        <v/>
      </c>
      <c r="T7" s="130" t="n">
        <v>5953.68</v>
      </c>
      <c r="U7" s="26" t="n"/>
    </row>
    <row r="8" ht="15.6" customHeight="1">
      <c r="A8" s="409" t="inlineStr">
        <is>
          <t>Melville</t>
        </is>
      </c>
      <c r="B8" s="200">
        <f>'2 - 8 August 2021'!E8</f>
        <v/>
      </c>
      <c r="C8" s="73" t="n">
        <v>78509.75</v>
      </c>
      <c r="D8" s="145" t="n">
        <v>70400.77</v>
      </c>
      <c r="E8" s="145" t="n">
        <v>107457.81</v>
      </c>
      <c r="F8" s="145" t="n">
        <v>234599.06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471</v>
      </c>
      <c r="K8" s="63">
        <f>IFERROR(E8/J8,0)</f>
        <v/>
      </c>
      <c r="L8" s="61" t="n">
        <v>18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/>
      </c>
      <c r="O8" s="172">
        <f>IFERROR(N8/SUM(J8),0)</f>
        <v/>
      </c>
      <c r="P8" s="260" t="n">
        <v>49720.88</v>
      </c>
      <c r="Q8" s="89">
        <f>SUM(P8/E8)</f>
        <v/>
      </c>
      <c r="R8" s="260" t="n">
        <v>12550.48</v>
      </c>
      <c r="S8" s="89">
        <f>SUM(R8/E8)</f>
        <v/>
      </c>
      <c r="T8" s="130" t="n">
        <v>2406.9</v>
      </c>
      <c r="U8" s="26" t="n"/>
    </row>
    <row r="9" ht="15.6" customHeight="1">
      <c r="A9" s="409" t="inlineStr">
        <is>
          <t>Rosebank</t>
        </is>
      </c>
      <c r="B9" s="200">
        <f>'2 - 8 August 2021'!E9</f>
        <v/>
      </c>
      <c r="C9" s="73" t="n">
        <v>311549.81</v>
      </c>
      <c r="D9" s="145" t="n">
        <v>0</v>
      </c>
      <c r="E9" s="145" t="n">
        <v>146042.81</v>
      </c>
      <c r="F9" s="145" t="n">
        <v>347137.12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545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/>
      </c>
      <c r="O9" s="172">
        <f>IFERROR(N9/SUM(J9),0)</f>
        <v/>
      </c>
      <c r="P9" s="260" t="n">
        <v>18608.5</v>
      </c>
      <c r="Q9" s="89">
        <f>SUM(P9/E9)</f>
        <v/>
      </c>
      <c r="R9" s="260" t="n">
        <v>17875.04</v>
      </c>
      <c r="S9" s="89">
        <f>SUM(R9/E9)</f>
        <v/>
      </c>
      <c r="T9" s="130" t="n">
        <v>2805</v>
      </c>
      <c r="U9" s="26" t="n"/>
    </row>
    <row r="10" ht="15.6" customHeight="1">
      <c r="A10" s="409" t="inlineStr">
        <is>
          <t xml:space="preserve">Waterkloof </t>
        </is>
      </c>
      <c r="B10" s="200">
        <f>'2 - 8 August 2021'!E10</f>
        <v/>
      </c>
      <c r="C10" s="73" t="n">
        <v>154333.15</v>
      </c>
      <c r="D10" s="145" t="n">
        <v>110791.55</v>
      </c>
      <c r="E10" s="145" t="n">
        <v>122396.48</v>
      </c>
      <c r="F10" s="145" t="n">
        <v>259621.69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466</v>
      </c>
      <c r="K10" s="63">
        <f>IFERROR(E10/J10,0)</f>
        <v/>
      </c>
      <c r="L10" s="61" t="n">
        <v>28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/>
      </c>
      <c r="O10" s="172">
        <f>IFERROR(N10/SUM(J10),0)</f>
        <v/>
      </c>
      <c r="P10" s="260" t="n">
        <v>31099.32</v>
      </c>
      <c r="Q10" s="89">
        <f>SUM(P10/E10)</f>
        <v/>
      </c>
      <c r="R10" s="260" t="n">
        <v>23060.57</v>
      </c>
      <c r="S10" s="89">
        <f>SUM(R10/E10)</f>
        <v/>
      </c>
      <c r="T10" s="130" t="n">
        <v>4281.2</v>
      </c>
      <c r="U10" s="26" t="n"/>
    </row>
    <row r="11" ht="15.6" customHeight="1">
      <c r="A11" s="409" t="inlineStr">
        <is>
          <t>Eagles Landing</t>
        </is>
      </c>
      <c r="B11" s="200">
        <f>'2 - 8 August 2021'!E11</f>
        <v/>
      </c>
      <c r="C11" s="73" t="n">
        <v>351899.09</v>
      </c>
      <c r="D11" s="145" t="n">
        <v>149185.19</v>
      </c>
      <c r="E11" s="145" t="n">
        <v>171775.88</v>
      </c>
      <c r="F11" s="145" t="n">
        <v>312107.89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565</v>
      </c>
      <c r="K11" s="63">
        <f>IFERROR(E11/J11,0)</f>
        <v/>
      </c>
      <c r="L11" s="61" t="n">
        <v>32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/>
      </c>
      <c r="O11" s="172">
        <f>IFERROR(N11/SUM(J11),0)</f>
        <v/>
      </c>
      <c r="P11" s="260" t="n">
        <v>36680.41</v>
      </c>
      <c r="Q11" s="89">
        <f>SUM(P11/E11)</f>
        <v/>
      </c>
      <c r="R11" s="260" t="n">
        <v>20760.87</v>
      </c>
      <c r="S11" s="89">
        <f>SUM(R11/E11)</f>
        <v/>
      </c>
      <c r="T11" s="130" t="n">
        <v>5601.91</v>
      </c>
      <c r="U11" s="26" t="n"/>
    </row>
    <row r="12" ht="15.6" customHeight="1">
      <c r="A12" s="198" t="inlineStr">
        <is>
          <t>Stellenbosch</t>
        </is>
      </c>
      <c r="B12" s="200">
        <f>'2 - 8 August 2021'!E12</f>
        <v/>
      </c>
      <c r="C12" s="73" t="n">
        <v>158515.24</v>
      </c>
      <c r="D12" s="145" t="n">
        <v>58499.72</v>
      </c>
      <c r="E12" s="145" t="n">
        <v>100293.99</v>
      </c>
      <c r="F12" s="145" t="n">
        <v>220043.23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383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/>
      </c>
      <c r="O12" s="172">
        <f>IFERROR(N12/SUM(J12),0)</f>
        <v/>
      </c>
      <c r="P12" s="260" t="n">
        <v>20786.26</v>
      </c>
      <c r="Q12" s="89">
        <f>SUM(P12/E12)</f>
        <v/>
      </c>
      <c r="R12" s="260" t="n">
        <v>7721.29</v>
      </c>
      <c r="S12" s="89">
        <f>SUM(R12/E12)</f>
        <v/>
      </c>
      <c r="T12" s="130" t="n">
        <v>6938.26</v>
      </c>
      <c r="U12" s="26" t="n"/>
    </row>
    <row r="13" ht="15.6" customHeight="1">
      <c r="A13" s="198" t="inlineStr">
        <is>
          <t>Lynnwood</t>
        </is>
      </c>
      <c r="B13" s="200">
        <f>'2 - 8 August 2021'!E13</f>
        <v/>
      </c>
      <c r="C13" s="73" t="n">
        <v>217294.08</v>
      </c>
      <c r="D13" s="145" t="n">
        <v>114003.83</v>
      </c>
      <c r="E13" s="145" t="n">
        <v>173155.22</v>
      </c>
      <c r="F13" s="145" t="n">
        <v>361248.64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75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/>
      </c>
      <c r="O13" s="172">
        <f>IFERROR(N13/SUM(J13),0)</f>
        <v/>
      </c>
      <c r="P13" s="260" t="n">
        <v>35498.37</v>
      </c>
      <c r="Q13" s="89">
        <f>SUM(P13/E13)</f>
        <v/>
      </c>
      <c r="R13" s="260" t="n">
        <v>28363.87</v>
      </c>
      <c r="S13" s="89">
        <f>SUM(R13/E13)</f>
        <v/>
      </c>
      <c r="T13" s="130" t="n">
        <v>4728.5</v>
      </c>
      <c r="U13" s="26" t="n"/>
    </row>
    <row r="14" hidden="1" ht="15.6" customHeight="1">
      <c r="A14" s="198" t="inlineStr">
        <is>
          <t>Wellington</t>
        </is>
      </c>
      <c r="B14" s="200">
        <f>'2 - 8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'2 - 8 August 2021'!E15</f>
        <v/>
      </c>
      <c r="C15" s="73" t="n">
        <v>149035.45</v>
      </c>
      <c r="D15" s="145" t="n">
        <v>81451.25999999999</v>
      </c>
      <c r="E15" s="145" t="n">
        <v>131076.87</v>
      </c>
      <c r="F15" s="145" t="n">
        <v>302846.22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421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12455.65</v>
      </c>
      <c r="S15" s="89">
        <f>SUM(R15/E15)</f>
        <v/>
      </c>
      <c r="T15" s="130" t="n">
        <v>3012.7</v>
      </c>
      <c r="U15" s="9" t="n"/>
    </row>
    <row r="16" ht="15.6" customHeight="1">
      <c r="A16" s="198" t="inlineStr">
        <is>
          <t>Kyalami Corner</t>
        </is>
      </c>
      <c r="B16" s="200">
        <f>'2 - 8 August 2021'!E16</f>
        <v/>
      </c>
      <c r="C16" s="73" t="n">
        <v>119169.43</v>
      </c>
      <c r="D16" s="145" t="n">
        <v>81736.92</v>
      </c>
      <c r="E16" s="145" t="n">
        <v>108865.93</v>
      </c>
      <c r="F16" s="145" t="n">
        <v>227775.94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459</v>
      </c>
      <c r="K16" s="63">
        <f>IFERROR(E16/J16,0)</f>
        <v/>
      </c>
      <c r="L16" s="61" t="n">
        <v>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/>
      </c>
      <c r="O16" s="172">
        <f>IFERROR(N16/SUM(J16),0)</f>
        <v/>
      </c>
      <c r="P16" s="260" t="n">
        <v>38235.52</v>
      </c>
      <c r="Q16" s="89">
        <f>SUM(P16/E16)</f>
        <v/>
      </c>
      <c r="R16" s="260" t="n">
        <v>16259.22</v>
      </c>
      <c r="S16" s="89">
        <f>SUM(R16/E16)</f>
        <v/>
      </c>
      <c r="T16" s="130" t="n">
        <v>4038.6</v>
      </c>
      <c r="U16" s="9" t="n"/>
      <c r="X16" s="238" t="n"/>
    </row>
    <row r="17" ht="15.6" customHeight="1">
      <c r="A17" s="198" t="inlineStr">
        <is>
          <t>Paulshof</t>
        </is>
      </c>
      <c r="B17" s="200">
        <f>'2 - 8 August 2021'!E17</f>
        <v/>
      </c>
      <c r="C17" s="73" t="n">
        <v>209337.65</v>
      </c>
      <c r="D17" s="145" t="n">
        <v>98739.64999999999</v>
      </c>
      <c r="E17" s="145" t="n">
        <v>152726.99</v>
      </c>
      <c r="F17" s="145" t="n">
        <v>304843.56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678</v>
      </c>
      <c r="K17" s="63">
        <f>IFERROR(E17/J17,0)</f>
        <v/>
      </c>
      <c r="L17" s="61" t="n">
        <v>46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/>
      </c>
      <c r="O17" s="172">
        <f>IFERROR(N17/SUM(J17),0)</f>
        <v/>
      </c>
      <c r="P17" s="260" t="n">
        <v>40321.54</v>
      </c>
      <c r="Q17" s="89">
        <f>SUM(P17/E17)</f>
        <v/>
      </c>
      <c r="R17" s="260" t="n">
        <v>24678.61</v>
      </c>
      <c r="S17" s="89">
        <f>SUM(R17/E17)</f>
        <v/>
      </c>
      <c r="T17" s="130" t="n">
        <v>5274</v>
      </c>
      <c r="U17" s="9" t="n"/>
    </row>
    <row r="18" ht="15.6" customHeight="1">
      <c r="A18" s="198" t="inlineStr">
        <is>
          <t>Queenswood</t>
        </is>
      </c>
      <c r="B18" s="200">
        <f>'2 - 8 August 2021'!E18</f>
        <v/>
      </c>
      <c r="C18" s="73" t="n">
        <v>147869.29</v>
      </c>
      <c r="D18" s="73" t="n">
        <v>90858.2</v>
      </c>
      <c r="E18" s="145" t="n">
        <v>131997.35</v>
      </c>
      <c r="F18" s="145" t="n">
        <v>268493.23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496</v>
      </c>
      <c r="K18" s="63">
        <f>IFERROR(E18/J18,0)</f>
        <v/>
      </c>
      <c r="L18" s="61" t="n">
        <v>45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/>
      </c>
      <c r="O18" s="172">
        <f>IFERROR(N18/SUM(J18),0)</f>
        <v/>
      </c>
      <c r="P18" s="260" t="n">
        <v>20805.65</v>
      </c>
      <c r="Q18" s="89">
        <f>SUM(P18/E18)</f>
        <v/>
      </c>
      <c r="R18" s="260" t="n">
        <v>13783.63</v>
      </c>
      <c r="S18" s="89">
        <f>SUM(R18/E18)</f>
        <v/>
      </c>
      <c r="T18" s="130" t="n">
        <v>2192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'9 - 15 August 2021'!E6</f>
        <v/>
      </c>
      <c r="C6" s="255" t="n">
        <v>231767.72</v>
      </c>
      <c r="D6" s="197" t="n">
        <v>148267.86</v>
      </c>
      <c r="E6" s="123" t="n">
        <v>159000.87</v>
      </c>
      <c r="F6" s="197" t="n">
        <v>554360.45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553</v>
      </c>
      <c r="K6" s="63">
        <f>IFERROR(E6/J6,0)</f>
        <v/>
      </c>
      <c r="L6" s="125" t="n">
        <v>42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/>
      </c>
      <c r="O6" s="171">
        <f>IFERROR(N6/SUM(J6),0)</f>
        <v/>
      </c>
      <c r="P6" s="259" t="n">
        <v>41047.63</v>
      </c>
      <c r="Q6" s="128">
        <f>SUM(P6/E6)</f>
        <v/>
      </c>
      <c r="R6" s="260" t="n">
        <v>5865.7</v>
      </c>
      <c r="S6" s="128">
        <f>SUM(R6/E6)</f>
        <v/>
      </c>
      <c r="T6" s="129" t="n">
        <v>13351</v>
      </c>
      <c r="U6" s="26" t="n"/>
    </row>
    <row r="7" ht="15.6" customHeight="1">
      <c r="A7" s="409" t="inlineStr">
        <is>
          <t>Melrose Arch</t>
        </is>
      </c>
      <c r="B7" s="200">
        <f>'9 - 15 August 2021'!E7</f>
        <v/>
      </c>
      <c r="C7" s="73" t="n">
        <v>221483.49</v>
      </c>
      <c r="D7" s="145" t="n">
        <v>148887.08</v>
      </c>
      <c r="E7" s="145" t="n">
        <v>161964.35</v>
      </c>
      <c r="F7" s="145" t="n">
        <v>488402.05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559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/>
      </c>
      <c r="O7" s="172">
        <f>IFERROR(N7/SUM(J7),0)</f>
        <v/>
      </c>
      <c r="P7" s="260" t="n">
        <v>22891.3</v>
      </c>
      <c r="Q7" s="89">
        <f>SUM(P7/E7)</f>
        <v/>
      </c>
      <c r="R7" s="260" t="n">
        <v>13570.87</v>
      </c>
      <c r="S7" s="89">
        <f>SUM(R7/E7)</f>
        <v/>
      </c>
      <c r="T7" s="130" t="n">
        <v>6555.5</v>
      </c>
      <c r="U7" s="26" t="n"/>
    </row>
    <row r="8" ht="15.6" customHeight="1">
      <c r="A8" s="409" t="inlineStr">
        <is>
          <t>Melville</t>
        </is>
      </c>
      <c r="B8" s="200">
        <f>'9 - 15 August 2021'!E8</f>
        <v/>
      </c>
      <c r="C8" s="73" t="n">
        <v>108339.36</v>
      </c>
      <c r="D8" s="145" t="n">
        <v>97802.64</v>
      </c>
      <c r="E8" s="145" t="n">
        <v>123573.27</v>
      </c>
      <c r="F8" s="145" t="n">
        <v>358172.33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540</v>
      </c>
      <c r="K8" s="63">
        <f>IFERROR(E8/J8,0)</f>
        <v/>
      </c>
      <c r="L8" s="61" t="n">
        <v>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/>
      </c>
      <c r="O8" s="172">
        <f>IFERROR(N8/SUM(J8),0)</f>
        <v/>
      </c>
      <c r="P8" s="260" t="n">
        <v>61950.78</v>
      </c>
      <c r="Q8" s="89">
        <f>SUM(P8/E8)</f>
        <v/>
      </c>
      <c r="R8" s="260" t="n">
        <v>13094.43</v>
      </c>
      <c r="S8" s="89">
        <f>SUM(R8/E8)</f>
        <v/>
      </c>
      <c r="T8" s="130" t="n">
        <v>2666.9</v>
      </c>
      <c r="U8" s="26" t="n"/>
    </row>
    <row r="9" ht="15.6" customHeight="1">
      <c r="A9" s="409" t="inlineStr">
        <is>
          <t>Rosebank</t>
        </is>
      </c>
      <c r="B9" s="200">
        <f>'9 - 15 August 2021'!E9</f>
        <v/>
      </c>
      <c r="C9" s="73" t="n">
        <v>318980.9</v>
      </c>
      <c r="D9" s="145" t="n">
        <v>0</v>
      </c>
      <c r="E9" s="145" t="n">
        <v>176608.28</v>
      </c>
      <c r="F9" s="145" t="n">
        <v>523745.4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663</v>
      </c>
      <c r="K9" s="63">
        <f>IFERROR(E9/J9,0)</f>
        <v/>
      </c>
      <c r="L9" s="61" t="n">
        <v>42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/>
      </c>
      <c r="O9" s="172">
        <f>IFERROR(N9/SUM(J9),0)</f>
        <v/>
      </c>
      <c r="P9" s="260" t="n">
        <v>17700.81</v>
      </c>
      <c r="Q9" s="89">
        <f>SUM(P9/E9)</f>
        <v/>
      </c>
      <c r="R9" s="260" t="n">
        <v>10695.57</v>
      </c>
      <c r="S9" s="89">
        <f>SUM(R9/E9)</f>
        <v/>
      </c>
      <c r="T9" s="130" t="n">
        <v>4146.25</v>
      </c>
      <c r="U9" s="26" t="n"/>
    </row>
    <row r="10" ht="15.6" customHeight="1">
      <c r="A10" s="409" t="inlineStr">
        <is>
          <t xml:space="preserve">Waterkloof </t>
        </is>
      </c>
      <c r="B10" s="200">
        <f>'9 - 15 August 2021'!E10</f>
        <v/>
      </c>
      <c r="C10" s="73" t="n">
        <v>146426.02</v>
      </c>
      <c r="D10" s="145" t="n">
        <v>130770.31</v>
      </c>
      <c r="E10" s="145" t="n">
        <v>123252.63</v>
      </c>
      <c r="F10" s="145" t="n">
        <v>385874.32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482</v>
      </c>
      <c r="K10" s="63">
        <f>IFERROR(E10/J10,0)</f>
        <v/>
      </c>
      <c r="L10" s="61" t="n">
        <v>57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/>
      </c>
      <c r="O10" s="172">
        <f>IFERROR(N10/SUM(J10),0)</f>
        <v/>
      </c>
      <c r="P10" s="260" t="n">
        <v>41461.45</v>
      </c>
      <c r="Q10" s="89">
        <f>SUM(P10/E10)</f>
        <v/>
      </c>
      <c r="R10" s="260" t="n">
        <v>19727.57</v>
      </c>
      <c r="S10" s="89">
        <f>SUM(R10/E10)</f>
        <v/>
      </c>
      <c r="T10" s="130" t="n">
        <v>4681.9</v>
      </c>
      <c r="U10" s="26" t="n"/>
    </row>
    <row r="11" ht="15.6" customHeight="1">
      <c r="A11" s="409" t="inlineStr">
        <is>
          <t>Eagles Landing</t>
        </is>
      </c>
      <c r="B11" s="200">
        <f>'9 - 15 August 2021'!E11</f>
        <v/>
      </c>
      <c r="C11" s="73" t="n">
        <v>360091.79</v>
      </c>
      <c r="D11" s="145" t="n">
        <v>217481.86</v>
      </c>
      <c r="E11" s="145" t="n">
        <v>228766.7</v>
      </c>
      <c r="F11" s="145" t="n">
        <v>659926.8100000001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850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/>
      </c>
      <c r="O11" s="172">
        <f>IFERROR(N11/SUM(J11),0)</f>
        <v/>
      </c>
      <c r="P11" s="260" t="n">
        <v>39973.39</v>
      </c>
      <c r="Q11" s="89">
        <f>SUM(P11/E11)</f>
        <v/>
      </c>
      <c r="R11" s="260" t="n">
        <v>23021.04</v>
      </c>
      <c r="S11" s="89">
        <f>SUM(R11/E11)</f>
        <v/>
      </c>
      <c r="T11" s="130" t="n">
        <v>6674.68</v>
      </c>
      <c r="U11" s="26" t="n"/>
    </row>
    <row r="12" ht="15.6" customHeight="1">
      <c r="A12" s="198" t="inlineStr">
        <is>
          <t>Stellenbosch</t>
        </is>
      </c>
      <c r="B12" s="200">
        <f>'9 - 15 August 2021'!E12</f>
        <v/>
      </c>
      <c r="C12" s="73" t="n">
        <v>140341.66</v>
      </c>
      <c r="D12" s="145" t="n">
        <v>97296.56</v>
      </c>
      <c r="E12" s="145" t="n">
        <v>88965.05</v>
      </c>
      <c r="F12" s="145" t="n">
        <v>309008.28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350</v>
      </c>
      <c r="K12" s="63">
        <f>IFERROR(E12/J12,0)</f>
        <v/>
      </c>
      <c r="L12" s="61" t="n">
        <v>59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/>
      </c>
      <c r="O12" s="172">
        <f>IFERROR(N12/SUM(J12),0)</f>
        <v/>
      </c>
      <c r="P12" s="260" t="n">
        <v>16186.17</v>
      </c>
      <c r="Q12" s="89">
        <f>SUM(P12/E12)</f>
        <v/>
      </c>
      <c r="R12" s="260" t="n">
        <v>9916</v>
      </c>
      <c r="S12" s="89">
        <f>SUM(R12/E12)</f>
        <v/>
      </c>
      <c r="T12" s="130" t="n">
        <v>5698.75</v>
      </c>
      <c r="U12" s="26" t="n"/>
    </row>
    <row r="13" ht="15.6" customHeight="1">
      <c r="A13" s="198" t="inlineStr">
        <is>
          <t>Lynnwood</t>
        </is>
      </c>
      <c r="B13" s="200">
        <f>'9 - 15 August 2021'!E13</f>
        <v/>
      </c>
      <c r="C13" s="73" t="n">
        <v>198305.39</v>
      </c>
      <c r="D13" s="145" t="n">
        <v>159754.29</v>
      </c>
      <c r="E13" s="145" t="n">
        <v>170345.73</v>
      </c>
      <c r="F13" s="145" t="n">
        <v>531594.37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676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/>
      </c>
      <c r="O13" s="172">
        <f>IFERROR(N13/SUM(J13),0)</f>
        <v/>
      </c>
      <c r="P13" s="260" t="n">
        <v>27250.44</v>
      </c>
      <c r="Q13" s="89">
        <f>SUM(P13/E13)</f>
        <v/>
      </c>
      <c r="R13" s="260" t="n">
        <v>25797.17</v>
      </c>
      <c r="S13" s="89">
        <f>SUM(R13/E13)</f>
        <v/>
      </c>
      <c r="T13" s="130" t="n">
        <v>3419</v>
      </c>
      <c r="U13" s="26" t="n"/>
    </row>
    <row r="14" hidden="1" ht="15.6" customHeight="1">
      <c r="A14" s="198" t="inlineStr">
        <is>
          <t>Wellington</t>
        </is>
      </c>
      <c r="B14" s="200">
        <f>'9 - 15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'9 - 15 August 2021'!E15</f>
        <v/>
      </c>
      <c r="C15" s="73" t="n">
        <v>144589.57</v>
      </c>
      <c r="D15" s="145" t="n">
        <v>127454.92</v>
      </c>
      <c r="E15" s="145" t="n">
        <v>144860.75</v>
      </c>
      <c r="F15" s="145" t="n">
        <v>447706.97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441</v>
      </c>
      <c r="K15" s="63">
        <f>IFERROR(E15/J15,0)</f>
        <v/>
      </c>
      <c r="L15" s="61" t="n">
        <v>58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16139.57</v>
      </c>
      <c r="S15" s="89">
        <f>SUM(R15/E15)</f>
        <v/>
      </c>
      <c r="T15" s="130" t="n">
        <v>1481.5</v>
      </c>
      <c r="U15" s="9" t="n"/>
    </row>
    <row r="16" ht="15.6" customHeight="1">
      <c r="A16" s="198" t="inlineStr">
        <is>
          <t>Kyalami Corner</t>
        </is>
      </c>
      <c r="B16" s="200">
        <f>'9 - 15 August 2021'!E16</f>
        <v/>
      </c>
      <c r="C16" s="73" t="n">
        <v>132180.87</v>
      </c>
      <c r="D16" s="145" t="n">
        <v>98588.39999999999</v>
      </c>
      <c r="E16" s="145" t="n">
        <v>123771.25</v>
      </c>
      <c r="F16" s="145" t="n">
        <v>351547.19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527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/>
      </c>
      <c r="O16" s="172">
        <f>IFERROR(N16/SUM(J16),0)</f>
        <v/>
      </c>
      <c r="P16" s="260" t="n">
        <v>32990.79</v>
      </c>
      <c r="Q16" s="89">
        <f>SUM(P16/E16)</f>
        <v/>
      </c>
      <c r="R16" s="260" t="n">
        <v>25713.64</v>
      </c>
      <c r="S16" s="89">
        <f>SUM(R16/E16)</f>
        <v/>
      </c>
      <c r="T16" s="130" t="n">
        <v>6186.85</v>
      </c>
      <c r="U16" s="9" t="n"/>
      <c r="X16" s="238" t="n"/>
    </row>
    <row r="17" ht="15.6" customHeight="1">
      <c r="A17" s="198" t="inlineStr">
        <is>
          <t>Paulshof</t>
        </is>
      </c>
      <c r="B17" s="200">
        <f>'9 - 15 August 2021'!E17</f>
        <v/>
      </c>
      <c r="C17" s="73" t="n">
        <v>198741.03</v>
      </c>
      <c r="D17" s="145" t="n">
        <v>153599.29</v>
      </c>
      <c r="E17" s="145" t="n">
        <v>149229.03</v>
      </c>
      <c r="F17" s="145" t="n">
        <v>454072.59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655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/>
      </c>
      <c r="O17" s="172">
        <f>IFERROR(N17/SUM(J17),0)</f>
        <v/>
      </c>
      <c r="P17" s="260" t="n">
        <v>31384.32</v>
      </c>
      <c r="Q17" s="89">
        <f>SUM(P17/E17)</f>
        <v/>
      </c>
      <c r="R17" s="260" t="n">
        <v>29672</v>
      </c>
      <c r="S17" s="89">
        <f>SUM(R17/E17)</f>
        <v/>
      </c>
      <c r="T17" s="130" t="n">
        <v>6820.5</v>
      </c>
      <c r="U17" s="9" t="n"/>
    </row>
    <row r="18" ht="15.6" customHeight="1">
      <c r="A18" s="198" t="inlineStr">
        <is>
          <t>Queenswood</t>
        </is>
      </c>
      <c r="B18" s="200">
        <f>'9 - 15 August 2021'!E18</f>
        <v/>
      </c>
      <c r="C18" s="73" t="n">
        <v>159131.38</v>
      </c>
      <c r="D18" s="73" t="n">
        <v>97925.73</v>
      </c>
      <c r="E18" s="145" t="n">
        <v>134165.04</v>
      </c>
      <c r="F18" s="145" t="n">
        <v>402658.27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529</v>
      </c>
      <c r="K18" s="63">
        <f>IFERROR(E18/J18,0)</f>
        <v/>
      </c>
      <c r="L18" s="61" t="n">
        <v>59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/>
      </c>
      <c r="O18" s="172">
        <f>IFERROR(N18/SUM(J18),0)</f>
        <v/>
      </c>
      <c r="P18" s="260" t="n">
        <v>28492.17</v>
      </c>
      <c r="Q18" s="89">
        <f>SUM(P18/E18)</f>
        <v/>
      </c>
      <c r="R18" s="260" t="n">
        <v>8464.23</v>
      </c>
      <c r="S18" s="89">
        <f>SUM(R18/E18)</f>
        <v/>
      </c>
      <c r="T18" s="130" t="n">
        <v>3790.5</v>
      </c>
      <c r="U18" s="9" t="n"/>
    </row>
    <row r="19" hidden="1" ht="16.2" customHeight="1" thickBot="1">
      <c r="A19" s="203" t="inlineStr">
        <is>
          <t>Centurion</t>
        </is>
      </c>
      <c r="B19" s="200">
        <f>'12 - 18 July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'16 - 22 August 2021'!E6</f>
        <v/>
      </c>
      <c r="C6" s="255" t="n">
        <v>248696.5</v>
      </c>
      <c r="D6" s="197" t="n">
        <v>159546.92</v>
      </c>
      <c r="E6" s="123" t="n">
        <v>182635.28</v>
      </c>
      <c r="F6" s="197" t="n">
        <v>736995.73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642</v>
      </c>
      <c r="K6" s="63">
        <f>IFERROR(E6/J6,0)</f>
        <v/>
      </c>
      <c r="L6" s="125" t="n">
        <v>18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/>
      </c>
      <c r="O6" s="171">
        <f>IFERROR(N6/SUM(J6),0)</f>
        <v/>
      </c>
      <c r="P6" s="259" t="n">
        <v>39222.5</v>
      </c>
      <c r="Q6" s="128">
        <f>SUM(P6/E6)</f>
        <v/>
      </c>
      <c r="R6" s="260" t="n">
        <v>8928.83</v>
      </c>
      <c r="S6" s="128">
        <f>SUM(R6/E6)</f>
        <v/>
      </c>
      <c r="T6" s="129" t="n">
        <v>5708.3</v>
      </c>
      <c r="U6" s="26" t="n"/>
    </row>
    <row r="7" ht="15.6" customHeight="1">
      <c r="A7" s="409" t="inlineStr">
        <is>
          <t>Melrose Arch</t>
        </is>
      </c>
      <c r="B7" s="200">
        <f>'16 - 22 August 2021'!E7</f>
        <v/>
      </c>
      <c r="C7" s="73" t="n">
        <v>252827.21</v>
      </c>
      <c r="D7" s="145" t="n">
        <v>159359.63</v>
      </c>
      <c r="E7" s="145" t="n">
        <v>156293.04</v>
      </c>
      <c r="F7" s="145" t="n">
        <v>644695.09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566</v>
      </c>
      <c r="K7" s="63">
        <f>IFERROR(E7/J7,0)</f>
        <v/>
      </c>
      <c r="L7" s="61" t="n">
        <v>53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/>
      </c>
      <c r="O7" s="172">
        <f>IFERROR(N7/SUM(J7),0)</f>
        <v/>
      </c>
      <c r="P7" s="260" t="n">
        <v>26276.56</v>
      </c>
      <c r="Q7" s="89">
        <f>SUM(P7/E7)</f>
        <v/>
      </c>
      <c r="R7" s="260" t="n">
        <v>13146.09</v>
      </c>
      <c r="S7" s="89">
        <f>SUM(R7/E7)</f>
        <v/>
      </c>
      <c r="T7" s="130" t="n">
        <v>5489.58</v>
      </c>
      <c r="U7" s="26" t="n"/>
    </row>
    <row r="8" ht="15.6" customHeight="1">
      <c r="A8" s="409" t="inlineStr">
        <is>
          <t>Melville</t>
        </is>
      </c>
      <c r="B8" s="200">
        <f>'16 - 22 August 2021'!E8</f>
        <v/>
      </c>
      <c r="C8" s="73" t="n">
        <v>100438.88</v>
      </c>
      <c r="D8" s="145" t="n">
        <v>89576.67</v>
      </c>
      <c r="E8" s="145" t="n">
        <v>112270.21</v>
      </c>
      <c r="F8" s="145" t="n">
        <v>470442.54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/>
      </c>
      <c r="O8" s="172">
        <f>IFERROR(N8/SUM(J8),0)</f>
        <v/>
      </c>
      <c r="P8" s="260" t="n">
        <v>53445.22</v>
      </c>
      <c r="Q8" s="89">
        <f>SUM(P8/E8)</f>
        <v/>
      </c>
      <c r="R8" s="260" t="n">
        <v>16202.48</v>
      </c>
      <c r="S8" s="89">
        <f>SUM(R8/E8)</f>
        <v/>
      </c>
      <c r="T8" s="130" t="n">
        <v>3008.3</v>
      </c>
      <c r="U8" s="26" t="n"/>
    </row>
    <row r="9" ht="15.6" customHeight="1">
      <c r="A9" s="409" t="inlineStr">
        <is>
          <t>Rosebank</t>
        </is>
      </c>
      <c r="B9" s="200">
        <f>'16 - 22 August 2021'!E9</f>
        <v/>
      </c>
      <c r="C9" s="73" t="n">
        <v>336182.19</v>
      </c>
      <c r="D9" s="145" t="n">
        <v>167047.18</v>
      </c>
      <c r="E9" s="145" t="n">
        <v>210003.64</v>
      </c>
      <c r="F9" s="145" t="n">
        <v>733749.04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767</v>
      </c>
      <c r="K9" s="63">
        <f>IFERROR(E9/J9,0)</f>
        <v/>
      </c>
      <c r="L9" s="61" t="n">
        <v>31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/>
      </c>
      <c r="O9" s="172">
        <f>IFERROR(N9/SUM(J9),0)</f>
        <v/>
      </c>
      <c r="P9" s="260" t="n">
        <v>25863</v>
      </c>
      <c r="Q9" s="89">
        <f>SUM(P9/E9)</f>
        <v/>
      </c>
      <c r="R9" s="260" t="n">
        <v>10684.56</v>
      </c>
      <c r="S9" s="89">
        <f>SUM(R9/E9)</f>
        <v/>
      </c>
      <c r="T9" s="130" t="n">
        <v>4333.5</v>
      </c>
      <c r="U9" s="26" t="n"/>
    </row>
    <row r="10" ht="15.6" customHeight="1">
      <c r="A10" s="409" t="inlineStr">
        <is>
          <t xml:space="preserve">Waterkloof </t>
        </is>
      </c>
      <c r="B10" s="200">
        <f>'16 - 22 August 2021'!E10</f>
        <v/>
      </c>
      <c r="C10" s="73" t="n">
        <v>152135.33</v>
      </c>
      <c r="D10" s="145" t="n">
        <v>122866.07</v>
      </c>
      <c r="E10" s="145" t="n">
        <v>141625.92</v>
      </c>
      <c r="F10" s="145" t="n">
        <v>527500.24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492</v>
      </c>
      <c r="K10" s="63">
        <f>IFERROR(E10/J10,0)</f>
        <v/>
      </c>
      <c r="L10" s="61" t="n">
        <v>50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/>
      </c>
      <c r="O10" s="172">
        <f>IFERROR(N10/SUM(J10),0)</f>
        <v/>
      </c>
      <c r="P10" s="260" t="n">
        <v>38223.19</v>
      </c>
      <c r="Q10" s="89">
        <f>SUM(P10/E10)</f>
        <v/>
      </c>
      <c r="R10" s="260" t="n">
        <v>17008.61</v>
      </c>
      <c r="S10" s="89">
        <f>SUM(R10/E10)</f>
        <v/>
      </c>
      <c r="T10" s="130" t="n">
        <v>5111.9</v>
      </c>
      <c r="U10" s="26" t="n"/>
    </row>
    <row r="11" ht="15.6" customHeight="1">
      <c r="A11" s="409" t="inlineStr">
        <is>
          <t>Eagles Landing</t>
        </is>
      </c>
      <c r="B11" s="200">
        <f>'16 - 22 August 2021'!E11</f>
        <v/>
      </c>
      <c r="C11" s="73" t="n">
        <v>359955.15</v>
      </c>
      <c r="D11" s="145" t="n">
        <v>225625.91</v>
      </c>
      <c r="E11" s="145" t="n">
        <v>248736.18</v>
      </c>
      <c r="F11" s="145" t="n">
        <v>908662.99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94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/>
      </c>
      <c r="O11" s="172">
        <f>IFERROR(N11/SUM(J11),0)</f>
        <v/>
      </c>
      <c r="P11" s="260" t="n">
        <v>37265.09</v>
      </c>
      <c r="Q11" s="89">
        <f>SUM(P11/E11)</f>
        <v/>
      </c>
      <c r="R11" s="260" t="n">
        <v>34162.13</v>
      </c>
      <c r="S11" s="89">
        <f>SUM(R11/E11)</f>
        <v/>
      </c>
      <c r="T11" s="130" t="n">
        <v>11156.05</v>
      </c>
      <c r="U11" s="26" t="n"/>
    </row>
    <row r="12" ht="15.6" customHeight="1">
      <c r="A12" s="198" t="inlineStr">
        <is>
          <t>Stellenbosch</t>
        </is>
      </c>
      <c r="B12" s="200">
        <f>'16 - 22 August 2021'!E12</f>
        <v/>
      </c>
      <c r="C12" s="73" t="n">
        <v>142994.71</v>
      </c>
      <c r="D12" s="145" t="n">
        <v>87304.83</v>
      </c>
      <c r="E12" s="145" t="n">
        <v>107488.05</v>
      </c>
      <c r="F12" s="145" t="n">
        <v>416496.33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/>
      </c>
      <c r="O12" s="172">
        <f>IFERROR(N12/SUM(J12),0)</f>
        <v/>
      </c>
      <c r="P12" s="260" t="n">
        <v>16731.52</v>
      </c>
      <c r="Q12" s="89">
        <f>SUM(P12/E12)</f>
        <v/>
      </c>
      <c r="R12" s="260" t="n">
        <v>13374.77</v>
      </c>
      <c r="S12" s="89">
        <f>SUM(R12/E12)</f>
        <v/>
      </c>
      <c r="T12" s="130" t="n">
        <v>5759</v>
      </c>
      <c r="U12" s="26" t="n"/>
    </row>
    <row r="13" ht="15.6" customHeight="1">
      <c r="A13" s="198" t="inlineStr">
        <is>
          <t>Lynnwood</t>
        </is>
      </c>
      <c r="B13" s="200">
        <f>'16 - 22 August 2021'!E13</f>
        <v/>
      </c>
      <c r="C13" s="73" t="n">
        <v>200652.94</v>
      </c>
      <c r="D13" s="145" t="n">
        <v>157305.47</v>
      </c>
      <c r="E13" s="145" t="n">
        <v>200623.02</v>
      </c>
      <c r="F13" s="145" t="n">
        <v>732217.39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754</v>
      </c>
      <c r="K13" s="63">
        <f>IFERROR(E13/J13,0)</f>
        <v/>
      </c>
      <c r="L13" s="61" t="n">
        <v>105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/>
      </c>
      <c r="O13" s="172">
        <f>IFERROR(N13/SUM(J13),0)</f>
        <v/>
      </c>
      <c r="P13" s="260" t="n">
        <v>30332.95</v>
      </c>
      <c r="Q13" s="89">
        <f>SUM(P13/E13)</f>
        <v/>
      </c>
      <c r="R13" s="260" t="n">
        <v>27341.87</v>
      </c>
      <c r="S13" s="89">
        <f>SUM(R13/E13)</f>
        <v/>
      </c>
      <c r="T13" s="130" t="n">
        <v>8270.5</v>
      </c>
      <c r="U13" s="26" t="n"/>
    </row>
    <row r="14" hidden="1" ht="15.6" customHeight="1">
      <c r="A14" s="198" t="inlineStr">
        <is>
          <t>Wellington</t>
        </is>
      </c>
      <c r="B14" s="200">
        <f>'16 - 22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'16 - 22 August 2021'!E15</f>
        <v/>
      </c>
      <c r="C15" s="73" t="n">
        <v>149768.1</v>
      </c>
      <c r="D15" s="145" t="n">
        <v>143641.05</v>
      </c>
      <c r="E15" s="145" t="n">
        <v>139227.05</v>
      </c>
      <c r="F15" s="145" t="n">
        <v>586934.02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457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16450.52</v>
      </c>
      <c r="S15" s="89">
        <f>SUM(R15/E15)</f>
        <v/>
      </c>
      <c r="T15" s="130" t="n">
        <v>3681</v>
      </c>
      <c r="U15" s="9" t="n"/>
    </row>
    <row r="16" ht="15.6" customHeight="1">
      <c r="A16" s="198" t="inlineStr">
        <is>
          <t>Kyalami Corner</t>
        </is>
      </c>
      <c r="B16" s="200">
        <f>'16 - 22 August 2021'!E16</f>
        <v/>
      </c>
      <c r="C16" s="73" t="n">
        <v>139344.52</v>
      </c>
      <c r="D16" s="145" t="n">
        <v>102765.68</v>
      </c>
      <c r="E16" s="145" t="n">
        <v>119149.06</v>
      </c>
      <c r="F16" s="145" t="n">
        <v>470696.25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523</v>
      </c>
      <c r="K16" s="63">
        <f>IFERROR(E16/J16,0)</f>
        <v/>
      </c>
      <c r="L16" s="61" t="n">
        <v>37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/>
      </c>
      <c r="O16" s="172">
        <f>IFERROR(N16/SUM(J16),0)</f>
        <v/>
      </c>
      <c r="P16" s="260" t="n">
        <v>35279.6</v>
      </c>
      <c r="Q16" s="89">
        <f>SUM(P16/E16)</f>
        <v/>
      </c>
      <c r="R16" s="260" t="n">
        <v>24590.65</v>
      </c>
      <c r="S16" s="89">
        <f>SUM(R16/E16)</f>
        <v/>
      </c>
      <c r="T16" s="130" t="n">
        <v>6650.8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'16 - 22 August 2021'!E17</f>
        <v/>
      </c>
      <c r="C17" s="73" t="n">
        <v>190535.34</v>
      </c>
      <c r="D17" s="145" t="n">
        <v>159701.51</v>
      </c>
      <c r="E17" s="145" t="n">
        <v>164986.63</v>
      </c>
      <c r="F17" s="145" t="n">
        <v>619059.22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648</v>
      </c>
      <c r="K17" s="63">
        <f>IFERROR(E17/J17,0)</f>
        <v/>
      </c>
      <c r="L17" s="61" t="n">
        <v>63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/>
      </c>
      <c r="O17" s="172">
        <f>IFERROR(N17/SUM(J17),0)</f>
        <v/>
      </c>
      <c r="P17" s="260" t="n">
        <v>25702.19</v>
      </c>
      <c r="Q17" s="89">
        <f>SUM(P17/E17)</f>
        <v/>
      </c>
      <c r="R17" s="260" t="n">
        <v>20473.65</v>
      </c>
      <c r="S17" s="89">
        <f>SUM(R17/E17)</f>
        <v/>
      </c>
      <c r="T17" s="130" t="n">
        <v>5563.5</v>
      </c>
      <c r="U17" s="9" t="n"/>
    </row>
    <row r="18" ht="15.6" customHeight="1">
      <c r="A18" s="198" t="inlineStr">
        <is>
          <t>Queenswood</t>
        </is>
      </c>
      <c r="B18" s="200">
        <f>'16 - 22 August 2021'!E18</f>
        <v/>
      </c>
      <c r="C18" s="73" t="n">
        <v>171996.21</v>
      </c>
      <c r="D18" s="73" t="n">
        <v>122016.15</v>
      </c>
      <c r="E18" s="145" t="n">
        <v>151341.9</v>
      </c>
      <c r="F18" s="145" t="n">
        <v>554000.17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554</v>
      </c>
      <c r="K18" s="63">
        <f>IFERROR(E18/J18,0)</f>
        <v/>
      </c>
      <c r="L18" s="61" t="n">
        <v>76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/>
      </c>
      <c r="O18" s="172">
        <f>IFERROR(N18/SUM(J18),0)</f>
        <v/>
      </c>
      <c r="P18" s="260" t="n">
        <v>26258.95</v>
      </c>
      <c r="Q18" s="89">
        <f>SUM(P18/E18)</f>
        <v/>
      </c>
      <c r="R18" s="260" t="n">
        <v>13313.05</v>
      </c>
      <c r="S18" s="89">
        <f>SUM(R18/E18)</f>
        <v/>
      </c>
      <c r="T18" s="130" t="n">
        <v>3280.5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'23 - 29 August 2021'!E6</f>
        <v/>
      </c>
      <c r="C6" s="255" t="n">
        <v>239676.58</v>
      </c>
      <c r="D6" s="197" t="n">
        <v>182984.25</v>
      </c>
      <c r="E6" s="123" t="n">
        <v>191939.76</v>
      </c>
      <c r="F6" s="197" t="n">
        <v>163112.11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663</v>
      </c>
      <c r="K6" s="63">
        <f>IFERROR(E6/J6,0)</f>
        <v/>
      </c>
      <c r="L6" s="125" t="n">
        <v>44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/>
      </c>
      <c r="O6" s="171">
        <f>IFERROR(N6/SUM(J6),0)</f>
        <v/>
      </c>
      <c r="P6" s="259" t="n">
        <v>37717.17</v>
      </c>
      <c r="Q6" s="128">
        <f>SUM(P6/E6)</f>
        <v/>
      </c>
      <c r="R6" s="260" t="n">
        <v>6694.39</v>
      </c>
      <c r="S6" s="128">
        <f>SUM(R6/E6)</f>
        <v/>
      </c>
      <c r="T6" s="129" t="n">
        <v>12033.5</v>
      </c>
      <c r="U6" s="26" t="n"/>
    </row>
    <row r="7" ht="15.6" customHeight="1">
      <c r="A7" s="409" t="inlineStr">
        <is>
          <t>Melrose Arch</t>
        </is>
      </c>
      <c r="B7" s="200">
        <f>'23 - 29 August 2021'!E7</f>
        <v/>
      </c>
      <c r="C7" s="73" t="n">
        <v>216653.28</v>
      </c>
      <c r="D7" s="145" t="n">
        <v>157610.76</v>
      </c>
      <c r="E7" s="145" t="n">
        <v>201746.45</v>
      </c>
      <c r="F7" s="145" t="n">
        <v>169190.68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702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/>
      </c>
      <c r="O7" s="172">
        <f>IFERROR(N7/SUM(J7),0)</f>
        <v/>
      </c>
      <c r="P7" s="260" t="n">
        <v>22427.98</v>
      </c>
      <c r="Q7" s="89">
        <f>SUM(P7/E7)</f>
        <v/>
      </c>
      <c r="R7" s="260" t="n">
        <v>11654.7</v>
      </c>
      <c r="S7" s="89">
        <f>SUM(R7/E7)</f>
        <v/>
      </c>
      <c r="T7" s="130" t="n">
        <v>8961.6</v>
      </c>
      <c r="U7" s="26" t="n"/>
    </row>
    <row r="8" ht="15.6" customHeight="1">
      <c r="A8" s="409" t="inlineStr">
        <is>
          <t>Melville</t>
        </is>
      </c>
      <c r="B8" s="200">
        <f>'23 - 29 August 2021'!E8</f>
        <v/>
      </c>
      <c r="C8" s="73" t="n">
        <v>120525.49</v>
      </c>
      <c r="D8" s="145" t="n">
        <v>105575.56</v>
      </c>
      <c r="E8" s="145" t="n">
        <v>110116.65</v>
      </c>
      <c r="F8" s="145" t="n">
        <v>91256.73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455</v>
      </c>
      <c r="K8" s="63">
        <f>IFERROR(E8/J8,0)</f>
        <v/>
      </c>
      <c r="L8" s="61" t="n">
        <v>33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/>
      </c>
      <c r="O8" s="172">
        <f>IFERROR(N8/SUM(J8),0)</f>
        <v/>
      </c>
      <c r="P8" s="260" t="n">
        <v>46231.43</v>
      </c>
      <c r="Q8" s="89">
        <f>SUM(P8/E8)</f>
        <v/>
      </c>
      <c r="R8" s="260" t="n">
        <v>13364.78</v>
      </c>
      <c r="S8" s="89">
        <f>SUM(R8/E8)</f>
        <v/>
      </c>
      <c r="T8" s="130" t="n">
        <v>3713.5</v>
      </c>
      <c r="U8" s="26" t="n"/>
    </row>
    <row r="9" ht="15.6" customHeight="1">
      <c r="A9" s="409" t="inlineStr">
        <is>
          <t>Rosebank</t>
        </is>
      </c>
      <c r="B9" s="200">
        <f>'23 - 29 August 2021'!E9</f>
        <v/>
      </c>
      <c r="C9" s="73" t="n">
        <v>320270.55</v>
      </c>
      <c r="D9" s="145" t="n">
        <v>192741.92</v>
      </c>
      <c r="E9" s="145" t="n">
        <v>206523.85</v>
      </c>
      <c r="F9" s="145" t="n">
        <v>164986.72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773</v>
      </c>
      <c r="K9" s="63">
        <f>IFERROR(E9/J9,0)</f>
        <v/>
      </c>
      <c r="L9" s="61" t="n">
        <v>27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/>
      </c>
      <c r="O9" s="172">
        <f>IFERROR(N9/SUM(J9),0)</f>
        <v/>
      </c>
      <c r="P9" s="260" t="n">
        <v>23232.71</v>
      </c>
      <c r="Q9" s="89">
        <f>SUM(P9/E9)</f>
        <v/>
      </c>
      <c r="R9" s="260" t="n">
        <v>13898.41</v>
      </c>
      <c r="S9" s="89">
        <f>SUM(R9/E9)</f>
        <v/>
      </c>
      <c r="T9" s="130" t="n">
        <v>3900.43</v>
      </c>
      <c r="U9" s="26" t="n"/>
    </row>
    <row r="10" ht="15.6" customHeight="1">
      <c r="A10" s="409" t="inlineStr">
        <is>
          <t xml:space="preserve">Waterkloof </t>
        </is>
      </c>
      <c r="B10" s="200">
        <f>'23 - 29 August 2021'!E10</f>
        <v/>
      </c>
      <c r="C10" s="73" t="n">
        <v>146999.51</v>
      </c>
      <c r="D10" s="145" t="n">
        <v>124582.41</v>
      </c>
      <c r="E10" s="145" t="n">
        <v>141777.65</v>
      </c>
      <c r="F10" s="145" t="n">
        <v>115842.79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508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/>
      </c>
      <c r="O10" s="172">
        <f>IFERROR(N10/SUM(J10),0)</f>
        <v/>
      </c>
      <c r="P10" s="260" t="n">
        <v>47166.36</v>
      </c>
      <c r="Q10" s="89">
        <f>SUM(P10/E10)</f>
        <v/>
      </c>
      <c r="R10" s="260" t="n">
        <v>14696.7</v>
      </c>
      <c r="S10" s="89">
        <f>SUM(R10/E10)</f>
        <v/>
      </c>
      <c r="T10" s="130" t="n">
        <v>3922.5</v>
      </c>
      <c r="U10" s="26" t="n"/>
    </row>
    <row r="11" ht="15.6" customHeight="1">
      <c r="A11" s="409" t="inlineStr">
        <is>
          <t>Eagles Landing</t>
        </is>
      </c>
      <c r="B11" s="200">
        <f>'23 - 29 August 2021'!E11</f>
        <v/>
      </c>
      <c r="C11" s="73" t="n">
        <v>328209.32</v>
      </c>
      <c r="D11" s="145" t="n">
        <v>257820.21</v>
      </c>
      <c r="E11" s="145" t="n">
        <v>237125.78</v>
      </c>
      <c r="F11" s="145" t="n">
        <v>197628.75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/>
      </c>
      <c r="O11" s="172">
        <f>IFERROR(N11/SUM(J11),0)</f>
        <v/>
      </c>
      <c r="P11" s="260" t="n">
        <v>38495.83</v>
      </c>
      <c r="Q11" s="89">
        <f>SUM(P11/E11)</f>
        <v/>
      </c>
      <c r="R11" s="260" t="n">
        <v>27307.78</v>
      </c>
      <c r="S11" s="89">
        <f>SUM(R11/E11)</f>
        <v/>
      </c>
      <c r="T11" s="130" t="n">
        <v>9492.549999999999</v>
      </c>
      <c r="U11" s="26" t="n"/>
    </row>
    <row r="12" ht="15.6" customHeight="1">
      <c r="A12" s="198" t="inlineStr">
        <is>
          <t>Stellenbosch</t>
        </is>
      </c>
      <c r="B12" s="200">
        <f>'23 - 29 August 2021'!E12</f>
        <v/>
      </c>
      <c r="C12" s="73" t="n">
        <v>145518.2</v>
      </c>
      <c r="D12" s="145" t="n">
        <v>104337.88</v>
      </c>
      <c r="E12" s="145" t="n">
        <v>109444.49</v>
      </c>
      <c r="F12" s="145" t="n">
        <v>86858.32000000001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407</v>
      </c>
      <c r="K12" s="63">
        <f>IFERROR(E12/J12,0)</f>
        <v/>
      </c>
      <c r="L12" s="61" t="n">
        <v>48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/>
      </c>
      <c r="O12" s="172">
        <f>IFERROR(N12/SUM(J12),0)</f>
        <v/>
      </c>
      <c r="P12" s="260" t="n">
        <v>20992.17</v>
      </c>
      <c r="Q12" s="89">
        <f>SUM(P12/E12)</f>
        <v/>
      </c>
      <c r="R12" s="260" t="n">
        <v>8548.700000000001</v>
      </c>
      <c r="S12" s="89">
        <f>SUM(R12/E12)</f>
        <v/>
      </c>
      <c r="T12" s="130" t="n">
        <v>8651.5</v>
      </c>
      <c r="U12" s="26" t="n"/>
    </row>
    <row r="13" ht="15.6" customHeight="1">
      <c r="A13" s="198" t="inlineStr">
        <is>
          <t>Lynnwood</t>
        </is>
      </c>
      <c r="B13" s="200">
        <f>'23 - 29 August 2021'!E13</f>
        <v/>
      </c>
      <c r="C13" s="73" t="n">
        <v>208795.8</v>
      </c>
      <c r="D13" s="145" t="n">
        <v>160475.67</v>
      </c>
      <c r="E13" s="145" t="n">
        <v>180434.4</v>
      </c>
      <c r="F13" s="145" t="n">
        <v>144194.83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680</v>
      </c>
      <c r="K13" s="63">
        <f>IFERROR(E13/J13,0)</f>
        <v/>
      </c>
      <c r="L13" s="61" t="n">
        <v>89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/>
      </c>
      <c r="O13" s="172">
        <f>IFERROR(N13/SUM(J13),0)</f>
        <v/>
      </c>
      <c r="P13" s="260" t="n">
        <v>26738.22</v>
      </c>
      <c r="Q13" s="89">
        <f>SUM(P13/E13)</f>
        <v/>
      </c>
      <c r="R13" s="260" t="n">
        <v>25645.71</v>
      </c>
      <c r="S13" s="89">
        <f>SUM(R13/E13)</f>
        <v/>
      </c>
      <c r="T13" s="130" t="n">
        <v>4991</v>
      </c>
      <c r="U13" s="26" t="n"/>
    </row>
    <row r="14" hidden="1" ht="15.6" customHeight="1">
      <c r="A14" s="198" t="inlineStr">
        <is>
          <t>Wellington</t>
        </is>
      </c>
      <c r="B14" s="200">
        <f>'23 - 29 August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'23 - 29 August 2021'!E15</f>
        <v/>
      </c>
      <c r="C15" s="73" t="n">
        <v>154810.43</v>
      </c>
      <c r="D15" s="145" t="n">
        <v>148414.68</v>
      </c>
      <c r="E15" s="145" t="n">
        <v>162189.08</v>
      </c>
      <c r="F15" s="145" t="n">
        <v>133676.59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494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16166.52</v>
      </c>
      <c r="S15" s="89">
        <f>SUM(R15/E15)</f>
        <v/>
      </c>
      <c r="T15" s="130" t="n">
        <v>3589.6</v>
      </c>
      <c r="U15" s="9" t="n"/>
    </row>
    <row r="16" ht="15.6" customHeight="1">
      <c r="A16" s="198" t="inlineStr">
        <is>
          <t>Kyalami Corner</t>
        </is>
      </c>
      <c r="B16" s="200">
        <f>'23 - 29 August 2021'!E16</f>
        <v/>
      </c>
      <c r="C16" s="73" t="n">
        <v>112130.31</v>
      </c>
      <c r="D16" s="145" t="n">
        <v>102976.22</v>
      </c>
      <c r="E16" s="145" t="n">
        <v>131562.69</v>
      </c>
      <c r="F16" s="145" t="n">
        <v>110992.37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515</v>
      </c>
      <c r="K16" s="63">
        <f>IFERROR(E16/J16,0)</f>
        <v/>
      </c>
      <c r="L16" s="61" t="n">
        <v>27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/>
      </c>
      <c r="O16" s="172">
        <f>IFERROR(N16/SUM(J16),0)</f>
        <v/>
      </c>
      <c r="P16" s="260" t="n">
        <v>35434.6</v>
      </c>
      <c r="Q16" s="89">
        <f>SUM(P16/E16)</f>
        <v/>
      </c>
      <c r="R16" s="260" t="n">
        <v>23446.95</v>
      </c>
      <c r="S16" s="89">
        <f>SUM(R16/E16)</f>
        <v/>
      </c>
      <c r="T16" s="130" t="n">
        <v>4675.5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'23 - 29 August 2021'!E17</f>
        <v/>
      </c>
      <c r="C17" s="73" t="n">
        <v>179173.79</v>
      </c>
      <c r="D17" s="145" t="n">
        <v>154600.58</v>
      </c>
      <c r="E17" s="145" t="n">
        <v>180862.94</v>
      </c>
      <c r="F17" s="145" t="n">
        <v>141035.93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701</v>
      </c>
      <c r="K17" s="63">
        <f>IFERROR(E17/J17,0)</f>
        <v/>
      </c>
      <c r="L17" s="61" t="n">
        <v>74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/>
      </c>
      <c r="O17" s="172">
        <f>IFERROR(N17/SUM(J17),0)</f>
        <v/>
      </c>
      <c r="P17" s="260" t="n">
        <v>31235.19</v>
      </c>
      <c r="Q17" s="89">
        <f>SUM(P17/E17)</f>
        <v/>
      </c>
      <c r="R17" s="260" t="n">
        <v>27221.1</v>
      </c>
      <c r="S17" s="89">
        <f>SUM(R17/E17)</f>
        <v/>
      </c>
      <c r="T17" s="130" t="n">
        <v>5091</v>
      </c>
      <c r="U17" s="9" t="n"/>
    </row>
    <row r="18" ht="15.6" customHeight="1">
      <c r="A18" s="198" t="inlineStr">
        <is>
          <t>Queenswood</t>
        </is>
      </c>
      <c r="B18" s="200">
        <f>'23 - 29 August 2021'!E18</f>
        <v/>
      </c>
      <c r="C18" s="73" t="n">
        <v>161486.17</v>
      </c>
      <c r="D18" s="73" t="n">
        <v>129658.48</v>
      </c>
      <c r="E18" s="145" t="n">
        <v>144403.3</v>
      </c>
      <c r="F18" s="145" t="n">
        <v>118242.81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542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/>
      </c>
      <c r="O18" s="172">
        <f>IFERROR(N18/SUM(J18),0)</f>
        <v/>
      </c>
      <c r="P18" s="260" t="n">
        <v>24463.8</v>
      </c>
      <c r="Q18" s="89">
        <f>SUM(P18/E18)</f>
        <v/>
      </c>
      <c r="R18" s="260" t="n">
        <v>8940.43</v>
      </c>
      <c r="S18" s="89">
        <f>SUM(R18/E18)</f>
        <v/>
      </c>
      <c r="T18" s="130" t="n">
        <v>3969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>
        <v>0</v>
      </c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'30 August - 5 Sept 2021'!E6</f>
        <v/>
      </c>
      <c r="C6" s="255" t="n">
        <v>239200.57</v>
      </c>
      <c r="D6" s="197" t="n">
        <v>172765.9</v>
      </c>
      <c r="E6" s="123" t="n">
        <v>190960.44</v>
      </c>
      <c r="F6" s="197" t="n">
        <v>354072.55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618</v>
      </c>
      <c r="K6" s="63">
        <f>IFERROR(E6/J6,0)</f>
        <v/>
      </c>
      <c r="L6" s="125" t="n">
        <v>33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/>
      </c>
      <c r="O6" s="171">
        <f>IFERROR(N6/SUM(J6),0)</f>
        <v/>
      </c>
      <c r="P6" s="259" t="n">
        <v>36158.1</v>
      </c>
      <c r="Q6" s="128">
        <f>SUM(P6/E6)</f>
        <v/>
      </c>
      <c r="R6" s="260" t="n">
        <v>9224.620000000001</v>
      </c>
      <c r="S6" s="128">
        <f>SUM(R6/E6)</f>
        <v/>
      </c>
      <c r="T6" s="129" t="n">
        <v>7809.85</v>
      </c>
      <c r="U6" s="26" t="n"/>
    </row>
    <row r="7" ht="15.6" customHeight="1">
      <c r="A7" s="409" t="inlineStr">
        <is>
          <t>Melrose Arch</t>
        </is>
      </c>
      <c r="B7" s="200">
        <f>'30 August - 5 Sept 2021'!E7</f>
        <v/>
      </c>
      <c r="C7" s="73" t="n">
        <v>229551.86</v>
      </c>
      <c r="D7" s="145" t="n">
        <v>143196.01</v>
      </c>
      <c r="E7" s="145" t="n">
        <v>169362.77</v>
      </c>
      <c r="F7" s="145" t="n">
        <v>338553.45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641</v>
      </c>
      <c r="K7" s="63">
        <f>IFERROR(E7/J7,0)</f>
        <v/>
      </c>
      <c r="L7" s="61" t="n">
        <v>76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/>
      </c>
      <c r="O7" s="172">
        <f>IFERROR(N7/SUM(J7),0)</f>
        <v/>
      </c>
      <c r="P7" s="260" t="n">
        <v>21695.06</v>
      </c>
      <c r="Q7" s="89">
        <f>SUM(P7/E7)</f>
        <v/>
      </c>
      <c r="R7" s="260" t="n">
        <v>14340.35</v>
      </c>
      <c r="S7" s="89">
        <f>SUM(R7/E7)</f>
        <v/>
      </c>
      <c r="T7" s="130" t="n">
        <v>6940.73</v>
      </c>
      <c r="U7" s="26" t="n"/>
    </row>
    <row r="8" ht="15.6" customHeight="1">
      <c r="A8" s="409" t="inlineStr">
        <is>
          <t>Melville</t>
        </is>
      </c>
      <c r="B8" s="200">
        <f>'30 August - 5 Sept 2021'!E8</f>
        <v/>
      </c>
      <c r="C8" s="73" t="n">
        <v>100323.41</v>
      </c>
      <c r="D8" s="145" t="n">
        <v>90991.77</v>
      </c>
      <c r="E8" s="145" t="n">
        <v>103027.19</v>
      </c>
      <c r="F8" s="145" t="n">
        <v>194283.92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/>
      </c>
      <c r="O8" s="172">
        <f>IFERROR(N8/SUM(J8),0)</f>
        <v/>
      </c>
      <c r="P8" s="260" t="n">
        <v>42597.65</v>
      </c>
      <c r="Q8" s="89">
        <f>SUM(P8/E8)</f>
        <v/>
      </c>
      <c r="R8" s="260" t="n">
        <v>14590.26</v>
      </c>
      <c r="S8" s="89">
        <f>SUM(R8/E8)</f>
        <v/>
      </c>
      <c r="T8" s="130" t="n">
        <v>5522</v>
      </c>
      <c r="U8" s="26" t="n"/>
    </row>
    <row r="9" ht="15.6" customHeight="1">
      <c r="A9" s="409" t="inlineStr">
        <is>
          <t>Rosebank</t>
        </is>
      </c>
      <c r="B9" s="200">
        <f>'30 August - 5 Sept 2021'!E9</f>
        <v/>
      </c>
      <c r="C9" s="73" t="n">
        <v>313819.25</v>
      </c>
      <c r="D9" s="145" t="n">
        <v>168420.84</v>
      </c>
      <c r="E9" s="145" t="n">
        <v>191574.23</v>
      </c>
      <c r="F9" s="145" t="n">
        <v>356560.95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747</v>
      </c>
      <c r="K9" s="63">
        <f>IFERROR(E9/J9,0)</f>
        <v/>
      </c>
      <c r="L9" s="61" t="n">
        <v>25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/>
      </c>
      <c r="O9" s="172">
        <f>IFERROR(N9/SUM(J9),0)</f>
        <v/>
      </c>
      <c r="P9" s="260" t="n">
        <v>27746.93</v>
      </c>
      <c r="Q9" s="89">
        <f>SUM(P9/E9)</f>
        <v/>
      </c>
      <c r="R9" s="260" t="n">
        <v>6434.48</v>
      </c>
      <c r="S9" s="89">
        <f>SUM(R9/E9)</f>
        <v/>
      </c>
      <c r="T9" s="130" t="n">
        <v>5594.5</v>
      </c>
      <c r="U9" s="26" t="n"/>
    </row>
    <row r="10" ht="15.6" customHeight="1">
      <c r="A10" s="409" t="inlineStr">
        <is>
          <t xml:space="preserve">Waterkloof </t>
        </is>
      </c>
      <c r="B10" s="200">
        <f>'30 August - 5 Sept 2021'!E10</f>
        <v/>
      </c>
      <c r="C10" s="73" t="n">
        <v>143750.61</v>
      </c>
      <c r="D10" s="145" t="n">
        <v>107290.46</v>
      </c>
      <c r="E10" s="145" t="n">
        <v>115490.13</v>
      </c>
      <c r="F10" s="145" t="n">
        <v>231332.92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/>
      </c>
      <c r="O10" s="172">
        <f>IFERROR(N10/SUM(J10),0)</f>
        <v/>
      </c>
      <c r="P10" s="260" t="n">
        <v>29581.37</v>
      </c>
      <c r="Q10" s="89">
        <f>SUM(P10/E10)</f>
        <v/>
      </c>
      <c r="R10" s="260" t="n">
        <v>21037.48</v>
      </c>
      <c r="S10" s="89">
        <f>SUM(R10/E10)</f>
        <v/>
      </c>
      <c r="T10" s="130" t="n">
        <v>3607.55</v>
      </c>
      <c r="U10" s="26" t="n"/>
    </row>
    <row r="11" ht="15.6" customHeight="1">
      <c r="A11" s="409" t="inlineStr">
        <is>
          <t>Eagles Landing</t>
        </is>
      </c>
      <c r="B11" s="200">
        <f>'30 August - 5 Sept 2021'!E11</f>
        <v/>
      </c>
      <c r="C11" s="73" t="n">
        <v>326839.88</v>
      </c>
      <c r="D11" s="145" t="n">
        <v>235120.91</v>
      </c>
      <c r="E11" s="145" t="n">
        <v>224233.88</v>
      </c>
      <c r="F11" s="145" t="n">
        <v>421862.63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809</v>
      </c>
      <c r="K11" s="63">
        <f>IFERROR(E11/J11,0)</f>
        <v/>
      </c>
      <c r="L11" s="61" t="n">
        <v>51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/>
      </c>
      <c r="O11" s="172">
        <f>IFERROR(N11/SUM(J11),0)</f>
        <v/>
      </c>
      <c r="P11" s="260" t="n">
        <v>35119.47</v>
      </c>
      <c r="Q11" s="89">
        <f>SUM(P11/E11)</f>
        <v/>
      </c>
      <c r="R11" s="260" t="n">
        <v>20603.26</v>
      </c>
      <c r="S11" s="89">
        <f>SUM(R11/E11)</f>
        <v/>
      </c>
      <c r="T11" s="130" t="n">
        <v>6690.8</v>
      </c>
      <c r="U11" s="26" t="n"/>
    </row>
    <row r="12" ht="15.6" customHeight="1">
      <c r="A12" s="198" t="inlineStr">
        <is>
          <t>Stellenbosch</t>
        </is>
      </c>
      <c r="B12" s="200">
        <f>'30 August - 5 Sept 2021'!E12</f>
        <v/>
      </c>
      <c r="C12" s="73" t="n">
        <v>125103.86</v>
      </c>
      <c r="D12" s="145" t="n">
        <v>86007.75</v>
      </c>
      <c r="E12" s="145" t="n">
        <v>98117.72</v>
      </c>
      <c r="F12" s="145" t="n">
        <v>184976.04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378</v>
      </c>
      <c r="K12" s="63">
        <f>IFERROR(E12/J12,0)</f>
        <v/>
      </c>
      <c r="L12" s="61" t="n">
        <v>53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/>
      </c>
      <c r="O12" s="172">
        <f>IFERROR(N12/SUM(J12),0)</f>
        <v/>
      </c>
      <c r="P12" s="260" t="n">
        <v>19838.7</v>
      </c>
      <c r="Q12" s="89">
        <f>SUM(P12/E12)</f>
        <v/>
      </c>
      <c r="R12" s="260" t="n">
        <v>8861.040000000001</v>
      </c>
      <c r="S12" s="89">
        <f>SUM(R12/E12)</f>
        <v/>
      </c>
      <c r="T12" s="130" t="n">
        <v>7547.25</v>
      </c>
      <c r="U12" s="26" t="n"/>
    </row>
    <row r="13" ht="15.6" customHeight="1">
      <c r="A13" s="198" t="inlineStr">
        <is>
          <t>Lynnwood</t>
        </is>
      </c>
      <c r="B13" s="200">
        <f>'30 August - 5 Sept 2021'!E13</f>
        <v/>
      </c>
      <c r="C13" s="73" t="n">
        <v>193711.92</v>
      </c>
      <c r="D13" s="145" t="n">
        <v>151321.61</v>
      </c>
      <c r="E13" s="145" t="n">
        <v>165850.01</v>
      </c>
      <c r="F13" s="145" t="n">
        <v>310044.84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660</v>
      </c>
      <c r="K13" s="63">
        <f>IFERROR(E13/J13,0)</f>
        <v/>
      </c>
      <c r="L13" s="61" t="n">
        <v>71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/>
      </c>
      <c r="O13" s="172">
        <f>IFERROR(N13/SUM(J13),0)</f>
        <v/>
      </c>
      <c r="P13" s="260" t="n">
        <v>31047.43</v>
      </c>
      <c r="Q13" s="89">
        <f>SUM(P13/E13)</f>
        <v/>
      </c>
      <c r="R13" s="260" t="n">
        <v>30349.23</v>
      </c>
      <c r="S13" s="89">
        <f>SUM(R13/E13)</f>
        <v/>
      </c>
      <c r="T13" s="130" t="n">
        <v>5561.5</v>
      </c>
      <c r="U13" s="26" t="n"/>
    </row>
    <row r="14" hidden="1" ht="15.6" customHeight="1">
      <c r="A14" s="198" t="inlineStr">
        <is>
          <t>Wellington</t>
        </is>
      </c>
      <c r="B14" s="200">
        <f>'30 August - 5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'30 August - 5 Sept 2021'!E15</f>
        <v/>
      </c>
      <c r="C15" s="73" t="n">
        <v>146744.19</v>
      </c>
      <c r="D15" s="145" t="n">
        <v>141895.69</v>
      </c>
      <c r="E15" s="145" t="n">
        <v>135359.28</v>
      </c>
      <c r="F15" s="145" t="n">
        <v>269035.87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485</v>
      </c>
      <c r="K15" s="63">
        <f>IFERROR(E15/J15,0)</f>
        <v/>
      </c>
      <c r="L15" s="61" t="n">
        <v>34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17572.83</v>
      </c>
      <c r="S15" s="89">
        <f>SUM(R15/E15)</f>
        <v/>
      </c>
      <c r="T15" s="130" t="n">
        <v>1339</v>
      </c>
      <c r="U15" s="9" t="n"/>
    </row>
    <row r="16" ht="15.6" customHeight="1">
      <c r="A16" s="198" t="inlineStr">
        <is>
          <t>Kyalami Corner</t>
        </is>
      </c>
      <c r="B16" s="200">
        <f>'30 August - 5 Sept 2021'!E16</f>
        <v/>
      </c>
      <c r="C16" s="73" t="n">
        <v>124313.82</v>
      </c>
      <c r="D16" s="145" t="n">
        <v>99944.92</v>
      </c>
      <c r="E16" s="145" t="n">
        <v>120334.53</v>
      </c>
      <c r="F16" s="145" t="n">
        <v>231326.9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458</v>
      </c>
      <c r="K16" s="63">
        <f>IFERROR(E16/J16,0)</f>
        <v/>
      </c>
      <c r="L16" s="61" t="n">
        <v>24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/>
      </c>
      <c r="O16" s="172">
        <f>IFERROR(N16/SUM(J16),0)</f>
        <v/>
      </c>
      <c r="P16" s="260" t="n">
        <v>27132.47</v>
      </c>
      <c r="Q16" s="89">
        <f>SUM(P16/E16)</f>
        <v/>
      </c>
      <c r="R16" s="260" t="n">
        <v>20112.13</v>
      </c>
      <c r="S16" s="89">
        <f>SUM(R16/E16)</f>
        <v/>
      </c>
      <c r="T16" s="130" t="n">
        <v>5825</v>
      </c>
      <c r="U16" s="9" t="n"/>
      <c r="X16" s="238" t="n"/>
    </row>
    <row r="17" ht="15.6" customHeight="1">
      <c r="A17" s="198" t="inlineStr">
        <is>
          <t>Paulshof</t>
        </is>
      </c>
      <c r="B17" s="200">
        <f>'30 August - 5 Sept 2021'!E17</f>
        <v/>
      </c>
      <c r="C17" s="73" t="n">
        <v>218690.87</v>
      </c>
      <c r="D17" s="145" t="n">
        <v>166675.46</v>
      </c>
      <c r="E17" s="145" t="n">
        <v>154135.11</v>
      </c>
      <c r="F17" s="145" t="n">
        <v>295171.04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623</v>
      </c>
      <c r="K17" s="63">
        <f>IFERROR(E17/J17,0)</f>
        <v/>
      </c>
      <c r="L17" s="61" t="n">
        <v>51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/>
      </c>
      <c r="O17" s="172">
        <f>IFERROR(N17/SUM(J17),0)</f>
        <v/>
      </c>
      <c r="P17" s="260" t="n">
        <v>24940.7</v>
      </c>
      <c r="Q17" s="89">
        <f>SUM(P17/E17)</f>
        <v/>
      </c>
      <c r="R17" s="260" t="n">
        <v>16383.25</v>
      </c>
      <c r="S17" s="89">
        <f>SUM(R17/E17)</f>
        <v/>
      </c>
      <c r="T17" s="130" t="n">
        <v>4820</v>
      </c>
      <c r="U17" s="9" t="n"/>
    </row>
    <row r="18" ht="15.6" customHeight="1">
      <c r="A18" s="198" t="inlineStr">
        <is>
          <t>Queenswood</t>
        </is>
      </c>
      <c r="B18" s="200">
        <f>'30 August - 5 Sept 2021'!E18</f>
        <v/>
      </c>
      <c r="C18" s="73" t="n">
        <v>154325.2</v>
      </c>
      <c r="D18" s="73" t="n">
        <v>102846.8</v>
      </c>
      <c r="E18" s="145" t="n">
        <v>146675.66</v>
      </c>
      <c r="F18" s="145" t="n">
        <v>264918.47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552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/>
      </c>
      <c r="O18" s="172">
        <f>IFERROR(N18/SUM(J18),0)</f>
        <v/>
      </c>
      <c r="P18" s="260" t="n">
        <v>25294.45</v>
      </c>
      <c r="Q18" s="89">
        <f>SUM(P18/E18)</f>
        <v/>
      </c>
      <c r="R18" s="260" t="n">
        <v>12610.54</v>
      </c>
      <c r="S18" s="89">
        <f>SUM(R18/E18)</f>
        <v/>
      </c>
      <c r="T18" s="130" t="n">
        <v>3268.08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Sept 2021'!E6</f>
        <v/>
      </c>
      <c r="C6" s="255" t="n">
        <v>225559.84</v>
      </c>
      <c r="D6" s="197" t="n">
        <v>186396.77</v>
      </c>
      <c r="E6" s="123" t="n">
        <v>175928.66</v>
      </c>
      <c r="F6" s="197" t="n">
        <v>530001.21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599</v>
      </c>
      <c r="K6" s="63">
        <f>IFERROR(E6/J6,0)</f>
        <v/>
      </c>
      <c r="L6" s="125" t="n">
        <v>54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/>
      </c>
      <c r="O6" s="171">
        <f>IFERROR(N6/SUM(J6),0)</f>
        <v/>
      </c>
      <c r="P6" s="259" t="n">
        <v>34474.29</v>
      </c>
      <c r="Q6" s="128">
        <f>SUM(P6/E6)</f>
        <v/>
      </c>
      <c r="R6" s="260" t="n">
        <v>6547.5</v>
      </c>
      <c r="S6" s="128">
        <f>SUM(R6/E6)</f>
        <v/>
      </c>
      <c r="T6" s="129" t="n">
        <v>6529</v>
      </c>
      <c r="U6" s="26" t="n"/>
    </row>
    <row r="7" ht="15.6" customHeight="1">
      <c r="A7" s="409" t="inlineStr">
        <is>
          <t>Melrose Arch</t>
        </is>
      </c>
      <c r="B7" s="200">
        <f>'6 - 12 Sept 2021'!E7</f>
        <v/>
      </c>
      <c r="C7" s="73" t="n">
        <v>224151.46</v>
      </c>
      <c r="D7" s="145" t="n">
        <v>147411.68</v>
      </c>
      <c r="E7" s="145" t="n">
        <v>177196.01</v>
      </c>
      <c r="F7" s="145" t="n">
        <v>515749.46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646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/>
      </c>
      <c r="O7" s="172">
        <f>IFERROR(N7/SUM(J7),0)</f>
        <v/>
      </c>
      <c r="P7" s="260" t="n">
        <v>22309.04</v>
      </c>
      <c r="Q7" s="89">
        <f>SUM(P7/E7)</f>
        <v/>
      </c>
      <c r="R7" s="260" t="n">
        <v>14186.91</v>
      </c>
      <c r="S7" s="89">
        <f>SUM(R7/E7)</f>
        <v/>
      </c>
      <c r="T7" s="130" t="n">
        <v>8693.450000000001</v>
      </c>
      <c r="U7" s="26" t="n"/>
    </row>
    <row r="8" ht="15.6" customHeight="1">
      <c r="A8" s="409" t="inlineStr">
        <is>
          <t>Melville</t>
        </is>
      </c>
      <c r="B8" s="200">
        <f>'6 - 12 Sept 2021'!E8</f>
        <v/>
      </c>
      <c r="C8" s="73" t="n">
        <v>96532.63</v>
      </c>
      <c r="D8" s="145" t="n">
        <v>98204.57000000001</v>
      </c>
      <c r="E8" s="145" t="n">
        <v>110851.92</v>
      </c>
      <c r="F8" s="145" t="n">
        <v>305135.84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37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/>
      </c>
      <c r="O8" s="172">
        <f>IFERROR(N8/SUM(J8),0)</f>
        <v/>
      </c>
      <c r="P8" s="260" t="n">
        <v>51691.07</v>
      </c>
      <c r="Q8" s="89">
        <f>SUM(P8/E8)</f>
        <v/>
      </c>
      <c r="R8" s="260" t="n">
        <v>14408.09</v>
      </c>
      <c r="S8" s="89">
        <f>SUM(R8/E8)</f>
        <v/>
      </c>
      <c r="T8" s="130" t="n">
        <v>3425.9</v>
      </c>
      <c r="U8" s="26" t="n"/>
    </row>
    <row r="9" ht="15.6" customHeight="1">
      <c r="A9" s="409" t="inlineStr">
        <is>
          <t>Rosebank</t>
        </is>
      </c>
      <c r="B9" s="200">
        <f>'6 - 12 Sept 2021'!E9</f>
        <v/>
      </c>
      <c r="C9" s="73" t="n">
        <v>319714.43</v>
      </c>
      <c r="D9" s="145" t="n">
        <v>191314.49</v>
      </c>
      <c r="E9" s="145" t="n">
        <v>203402.98</v>
      </c>
      <c r="F9" s="145" t="n">
        <v>559963.9300000001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748</v>
      </c>
      <c r="K9" s="63">
        <f>IFERROR(E9/J9,0)</f>
        <v/>
      </c>
      <c r="L9" s="61" t="n">
        <v>38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/>
      </c>
      <c r="O9" s="172">
        <f>IFERROR(N9/SUM(J9),0)</f>
        <v/>
      </c>
      <c r="P9" s="260" t="n">
        <v>25109.56</v>
      </c>
      <c r="Q9" s="89">
        <f>SUM(P9/E9)</f>
        <v/>
      </c>
      <c r="R9" s="260" t="n">
        <v>10956.76</v>
      </c>
      <c r="S9" s="89">
        <f>SUM(R9/E9)</f>
        <v/>
      </c>
      <c r="T9" s="130" t="n">
        <v>4037.25</v>
      </c>
      <c r="U9" s="26" t="n"/>
    </row>
    <row r="10" ht="15.6" customHeight="1">
      <c r="A10" s="409" t="inlineStr">
        <is>
          <t xml:space="preserve">Waterkloof </t>
        </is>
      </c>
      <c r="B10" s="200">
        <f>'6 - 12 Sept 2021'!E10</f>
        <v/>
      </c>
      <c r="C10" s="73" t="n">
        <v>139152.81</v>
      </c>
      <c r="D10" s="145" t="n">
        <v>119965.27</v>
      </c>
      <c r="E10" s="145" t="n">
        <v>123051.74</v>
      </c>
      <c r="F10" s="145" t="n">
        <v>354384.66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/>
      </c>
      <c r="O10" s="172">
        <f>IFERROR(N10/SUM(J10),0)</f>
        <v/>
      </c>
      <c r="P10" s="260" t="n">
        <v>37144.15</v>
      </c>
      <c r="Q10" s="89">
        <f>SUM(P10/E10)</f>
        <v/>
      </c>
      <c r="R10" s="260" t="n">
        <v>17359</v>
      </c>
      <c r="S10" s="89">
        <f>SUM(R10/E10)</f>
        <v/>
      </c>
      <c r="T10" s="130" t="n">
        <v>3452.4</v>
      </c>
      <c r="U10" s="26" t="n"/>
    </row>
    <row r="11" ht="15.6" customHeight="1">
      <c r="A11" s="409" t="inlineStr">
        <is>
          <t>Eagles Landing</t>
        </is>
      </c>
      <c r="B11" s="200">
        <f>'6 - 12 Sept 2021'!E11</f>
        <v/>
      </c>
      <c r="C11" s="73" t="n">
        <v>285384</v>
      </c>
      <c r="D11" s="145" t="n">
        <v>214047.72</v>
      </c>
      <c r="E11" s="145" t="n">
        <v>234988.31</v>
      </c>
      <c r="F11" s="145" t="n">
        <v>656850.9399999999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/>
      </c>
      <c r="O11" s="172">
        <f>IFERROR(N11/SUM(J11),0)</f>
        <v/>
      </c>
      <c r="P11" s="260" t="n">
        <v>37113.82</v>
      </c>
      <c r="Q11" s="89">
        <f>SUM(P11/E11)</f>
        <v/>
      </c>
      <c r="R11" s="260" t="n">
        <v>19198.74</v>
      </c>
      <c r="S11" s="89">
        <f>SUM(R11/E11)</f>
        <v/>
      </c>
      <c r="T11" s="130" t="n">
        <v>9512.950000000001</v>
      </c>
      <c r="U11" s="26" t="n"/>
    </row>
    <row r="12" ht="15.6" customHeight="1">
      <c r="A12" s="198" t="inlineStr">
        <is>
          <t>Stellenbosch</t>
        </is>
      </c>
      <c r="B12" s="200">
        <f>'6 - 12 Sept 2021'!E12</f>
        <v/>
      </c>
      <c r="C12" s="73" t="n">
        <v>131916.09</v>
      </c>
      <c r="D12" s="145" t="n">
        <v>81184.59</v>
      </c>
      <c r="E12" s="145" t="n">
        <v>105029.58</v>
      </c>
      <c r="F12" s="145" t="n">
        <v>290005.62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370</v>
      </c>
      <c r="K12" s="63">
        <f>IFERROR(E12/J12,0)</f>
        <v/>
      </c>
      <c r="L12" s="61" t="n">
        <v>41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/>
      </c>
      <c r="O12" s="172">
        <f>IFERROR(N12/SUM(J12),0)</f>
        <v/>
      </c>
      <c r="P12" s="260" t="n">
        <v>16093.65</v>
      </c>
      <c r="Q12" s="89">
        <f>SUM(P12/E12)</f>
        <v/>
      </c>
      <c r="R12" s="260" t="n">
        <v>8701.65</v>
      </c>
      <c r="S12" s="89">
        <f>SUM(R12/E12)</f>
        <v/>
      </c>
      <c r="T12" s="130" t="n">
        <v>7247</v>
      </c>
      <c r="U12" s="26" t="n"/>
    </row>
    <row r="13" ht="15.6" customHeight="1">
      <c r="A13" s="198" t="inlineStr">
        <is>
          <t>Lynnwood</t>
        </is>
      </c>
      <c r="B13" s="200">
        <f>'6 - 12 Sept 2021'!E13</f>
        <v/>
      </c>
      <c r="C13" s="73" t="n">
        <v>171225.27</v>
      </c>
      <c r="D13" s="145" t="n">
        <v>167682.77</v>
      </c>
      <c r="E13" s="145" t="n">
        <v>173022.38</v>
      </c>
      <c r="F13" s="145" t="n">
        <v>483067.22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664</v>
      </c>
      <c r="K13" s="63">
        <f>IFERROR(E13/J13,0)</f>
        <v/>
      </c>
      <c r="L13" s="61" t="n">
        <v>109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/>
      </c>
      <c r="O13" s="172">
        <f>IFERROR(N13/SUM(J13),0)</f>
        <v/>
      </c>
      <c r="P13" s="260" t="n">
        <v>25124.57</v>
      </c>
      <c r="Q13" s="89">
        <f>SUM(P13/E13)</f>
        <v/>
      </c>
      <c r="R13" s="260" t="n">
        <v>23743.52</v>
      </c>
      <c r="S13" s="89">
        <f>SUM(R13/E13)</f>
        <v/>
      </c>
      <c r="T13" s="130" t="n">
        <v>6397</v>
      </c>
      <c r="U13" s="26" t="n"/>
    </row>
    <row r="14" hidden="1" ht="15.6" customHeight="1">
      <c r="A14" s="198" t="inlineStr">
        <is>
          <t>Wellington</t>
        </is>
      </c>
      <c r="B14" s="200">
        <f>'6 - 12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Sept 2021'!E15</f>
        <v/>
      </c>
      <c r="C15" s="73" t="n">
        <v>243243.69</v>
      </c>
      <c r="D15" s="145" t="n">
        <v>163505.59</v>
      </c>
      <c r="E15" s="145" t="n">
        <v>159561.32</v>
      </c>
      <c r="F15" s="145" t="n">
        <v>428597.19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530</v>
      </c>
      <c r="K15" s="63">
        <f>IFERROR(E15/J15,0)</f>
        <v/>
      </c>
      <c r="L15" s="61" t="n">
        <v>35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14593.04</v>
      </c>
      <c r="S15" s="89">
        <f>SUM(R15/E15)</f>
        <v/>
      </c>
      <c r="T15" s="130" t="n">
        <v>3216</v>
      </c>
      <c r="U15" s="9" t="n"/>
    </row>
    <row r="16" ht="15.6" customHeight="1">
      <c r="A16" s="198" t="inlineStr">
        <is>
          <t>Kyalami Corner</t>
        </is>
      </c>
      <c r="B16" s="200">
        <f>'6 - 12 Sept 2021'!E16</f>
        <v/>
      </c>
      <c r="C16" s="73" t="n">
        <v>115075.28</v>
      </c>
      <c r="D16" s="145" t="n">
        <v>102940.88</v>
      </c>
      <c r="E16" s="145" t="n">
        <v>129555.26</v>
      </c>
      <c r="F16" s="145" t="n">
        <v>360882.16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482</v>
      </c>
      <c r="K16" s="63">
        <f>IFERROR(E16/J16,0)</f>
        <v/>
      </c>
      <c r="L16" s="61" t="n">
        <v>42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/>
      </c>
      <c r="O16" s="172">
        <f>IFERROR(N16/SUM(J16),0)</f>
        <v/>
      </c>
      <c r="P16" s="260" t="n">
        <v>29691.51</v>
      </c>
      <c r="Q16" s="89">
        <f>SUM(P16/E16)</f>
        <v/>
      </c>
      <c r="R16" s="260" t="n">
        <v>27727.45</v>
      </c>
      <c r="S16" s="89">
        <f>SUM(R16/E16)</f>
        <v/>
      </c>
      <c r="T16" s="130" t="n">
        <v>4623.7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Sept 2021'!E17</f>
        <v/>
      </c>
      <c r="C17" s="73" t="n">
        <v>213804.3</v>
      </c>
      <c r="D17" s="145" t="n">
        <v>174633.43</v>
      </c>
      <c r="E17" s="145" t="n">
        <v>178660.19</v>
      </c>
      <c r="F17" s="145" t="n">
        <v>473831.23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728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/>
      </c>
      <c r="O17" s="172">
        <f>IFERROR(N17/SUM(J17),0)</f>
        <v/>
      </c>
      <c r="P17" s="260" t="n">
        <v>32572.58</v>
      </c>
      <c r="Q17" s="89">
        <f>SUM(P17/E17)</f>
        <v/>
      </c>
      <c r="R17" s="260" t="n">
        <v>22077.13</v>
      </c>
      <c r="S17" s="89">
        <f>SUM(R17/E17)</f>
        <v/>
      </c>
      <c r="T17" s="130" t="n">
        <v>7421</v>
      </c>
      <c r="U17" s="9" t="n"/>
    </row>
    <row r="18" ht="15.6" customHeight="1">
      <c r="A18" s="198" t="inlineStr">
        <is>
          <t>Queenswood</t>
        </is>
      </c>
      <c r="B18" s="200">
        <f>'6 - 12 Sept 2021'!E18</f>
        <v/>
      </c>
      <c r="C18" s="73" t="n">
        <v>155970.38</v>
      </c>
      <c r="D18" s="73" t="n">
        <v>146391.43</v>
      </c>
      <c r="E18" s="145" t="n">
        <v>148575.59</v>
      </c>
      <c r="F18" s="145" t="n">
        <v>413494.06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580</v>
      </c>
      <c r="K18" s="63">
        <f>IFERROR(E18/J18,0)</f>
        <v/>
      </c>
      <c r="L18" s="61" t="n">
        <v>86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/>
      </c>
      <c r="O18" s="172">
        <f>IFERROR(N18/SUM(J18),0)</f>
        <v/>
      </c>
      <c r="P18" s="260" t="n">
        <v>17372.45</v>
      </c>
      <c r="Q18" s="89">
        <f>SUM(P18/E18)</f>
        <v/>
      </c>
      <c r="R18" s="260" t="n">
        <v>14647.7</v>
      </c>
      <c r="S18" s="89">
        <f>SUM(R18/E18)</f>
        <v/>
      </c>
      <c r="T18" s="130" t="n">
        <v>3194.6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50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142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Sept 2021'!E6</f>
        <v/>
      </c>
      <c r="C6" s="255" t="n">
        <v>313795.07</v>
      </c>
      <c r="D6" s="197" t="n">
        <v>193260.05</v>
      </c>
      <c r="E6" s="123" t="n">
        <v>197034.69</v>
      </c>
      <c r="F6" s="197" t="n">
        <v>727035.9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/>
      </c>
      <c r="O6" s="171">
        <f>IFERROR(N6/SUM(J6),0)</f>
        <v/>
      </c>
      <c r="P6" s="259" t="n">
        <v>27985.7</v>
      </c>
      <c r="Q6" s="128">
        <f>SUM(P6/E6)</f>
        <v/>
      </c>
      <c r="R6" s="260" t="n">
        <v>11070.01</v>
      </c>
      <c r="S6" s="128">
        <f>SUM(R6/E6)</f>
        <v/>
      </c>
      <c r="T6" s="129" t="n">
        <v>5472</v>
      </c>
      <c r="U6" s="26" t="n"/>
    </row>
    <row r="7" ht="15.6" customHeight="1">
      <c r="A7" s="409" t="inlineStr">
        <is>
          <t>Melrose Arch</t>
        </is>
      </c>
      <c r="B7" s="200">
        <f>'13 - 19 Sept 2021'!E7</f>
        <v/>
      </c>
      <c r="C7" s="73" t="n">
        <v>220920.76</v>
      </c>
      <c r="D7" s="145" t="n">
        <v>188913.59</v>
      </c>
      <c r="E7" s="145" t="n">
        <v>175937.8</v>
      </c>
      <c r="F7" s="145" t="n">
        <v>691687.26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678</v>
      </c>
      <c r="K7" s="63">
        <f>IFERROR(E7/J7,0)</f>
        <v/>
      </c>
      <c r="L7" s="61" t="n">
        <v>34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/>
      </c>
      <c r="O7" s="172">
        <f>IFERROR(N7/SUM(J7),0)</f>
        <v/>
      </c>
      <c r="P7" s="260" t="n">
        <v>22547.52</v>
      </c>
      <c r="Q7" s="89">
        <f>SUM(P7/E7)</f>
        <v/>
      </c>
      <c r="R7" s="260" t="n">
        <v>10617.39</v>
      </c>
      <c r="S7" s="89">
        <f>SUM(R7/E7)</f>
        <v/>
      </c>
      <c r="T7" s="130" t="n">
        <v>8629.879999999999</v>
      </c>
      <c r="U7" s="26" t="n"/>
    </row>
    <row r="8" ht="15.6" customHeight="1">
      <c r="A8" s="409" t="inlineStr">
        <is>
          <t>Melville</t>
        </is>
      </c>
      <c r="B8" s="200">
        <f>'13 - 19 Sept 2021'!E8</f>
        <v/>
      </c>
      <c r="C8" s="73" t="n">
        <v>112847.78</v>
      </c>
      <c r="D8" s="145" t="n">
        <v>89530.67999999999</v>
      </c>
      <c r="E8" s="145" t="n">
        <v>116334.7</v>
      </c>
      <c r="F8" s="145" t="n">
        <v>421470.54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463</v>
      </c>
      <c r="K8" s="63">
        <f>IFERROR(E8/J8,0)</f>
        <v/>
      </c>
      <c r="L8" s="61" t="n">
        <v>24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/>
      </c>
      <c r="O8" s="172">
        <f>IFERROR(N8/SUM(J8),0)</f>
        <v/>
      </c>
      <c r="P8" s="260" t="n">
        <v>47873.92</v>
      </c>
      <c r="Q8" s="89">
        <f>SUM(P8/E8)</f>
        <v/>
      </c>
      <c r="R8" s="260" t="n">
        <v>10898.78</v>
      </c>
      <c r="S8" s="89">
        <f>SUM(R8/E8)</f>
        <v/>
      </c>
      <c r="T8" s="130" t="n">
        <v>1657</v>
      </c>
      <c r="U8" s="26" t="n"/>
    </row>
    <row r="9" ht="15.6" customHeight="1">
      <c r="A9" s="409" t="inlineStr">
        <is>
          <t>Rosebank</t>
        </is>
      </c>
      <c r="B9" s="200">
        <f>'13 - 19 Sept 2021'!E9</f>
        <v/>
      </c>
      <c r="C9" s="73" t="n">
        <v>363369.98</v>
      </c>
      <c r="D9" s="145" t="n">
        <v>200774.75</v>
      </c>
      <c r="E9" s="145" t="n">
        <v>250317.29</v>
      </c>
      <c r="F9" s="145" t="n">
        <v>810281.22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877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/>
      </c>
      <c r="O9" s="172">
        <f>IFERROR(N9/SUM(J9),0)</f>
        <v/>
      </c>
      <c r="P9" s="260" t="n">
        <v>19114.36</v>
      </c>
      <c r="Q9" s="89">
        <f>SUM(P9/E9)</f>
        <v/>
      </c>
      <c r="R9" s="260" t="n">
        <v>13373.93</v>
      </c>
      <c r="S9" s="89">
        <f>SUM(R9/E9)</f>
        <v/>
      </c>
      <c r="T9" s="130" t="n">
        <v>5519</v>
      </c>
      <c r="U9" s="26" t="n"/>
    </row>
    <row r="10" ht="15.6" customHeight="1">
      <c r="A10" s="409" t="inlineStr">
        <is>
          <t xml:space="preserve">Waterkloof </t>
        </is>
      </c>
      <c r="B10" s="200">
        <f>'13 - 19 Sept 2021'!E10</f>
        <v/>
      </c>
      <c r="C10" s="73" t="n">
        <v>149468.42</v>
      </c>
      <c r="D10" s="145" t="n">
        <v>103215.87</v>
      </c>
      <c r="E10" s="145" t="n">
        <v>119605.31</v>
      </c>
      <c r="F10" s="145" t="n">
        <v>473989.97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438</v>
      </c>
      <c r="K10" s="63">
        <f>IFERROR(E10/J10,0)</f>
        <v/>
      </c>
      <c r="L10" s="61" t="n">
        <v>30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/>
      </c>
      <c r="O10" s="172">
        <f>IFERROR(N10/SUM(J10),0)</f>
        <v/>
      </c>
      <c r="P10" s="260" t="n">
        <v>31806.23</v>
      </c>
      <c r="Q10" s="89">
        <f>SUM(P10/E10)</f>
        <v/>
      </c>
      <c r="R10" s="260" t="n">
        <v>22472.1</v>
      </c>
      <c r="S10" s="89">
        <f>SUM(R10/E10)</f>
        <v/>
      </c>
      <c r="T10" s="130" t="n">
        <v>3239.65</v>
      </c>
      <c r="U10" s="26" t="n"/>
    </row>
    <row r="11" ht="15.6" customHeight="1">
      <c r="A11" s="409" t="inlineStr">
        <is>
          <t>Eagles Landing</t>
        </is>
      </c>
      <c r="B11" s="200">
        <f>'13 - 19 Sept 2021'!E11</f>
        <v/>
      </c>
      <c r="C11" s="73" t="n">
        <v>371983.14</v>
      </c>
      <c r="D11" s="145" t="n">
        <v>228682.89</v>
      </c>
      <c r="E11" s="145" t="n">
        <v>225388.91</v>
      </c>
      <c r="F11" s="145" t="n">
        <v>882239.85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807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/>
      </c>
      <c r="O11" s="172">
        <f>IFERROR(N11/SUM(J11),0)</f>
        <v/>
      </c>
      <c r="P11" s="260" t="n">
        <v>40980.27</v>
      </c>
      <c r="Q11" s="89">
        <f>SUM(P11/E11)</f>
        <v/>
      </c>
      <c r="R11" s="260" t="n">
        <v>20046.26</v>
      </c>
      <c r="S11" s="89">
        <f>SUM(R11/E11)</f>
        <v/>
      </c>
      <c r="T11" s="130" t="n">
        <v>7590.48</v>
      </c>
      <c r="U11" s="26" t="n"/>
    </row>
    <row r="12" ht="15.6" customHeight="1">
      <c r="A12" s="198" t="inlineStr">
        <is>
          <t>Stellenbosch</t>
        </is>
      </c>
      <c r="B12" s="200">
        <f>'13 - 19 Sept 2021'!E12</f>
        <v/>
      </c>
      <c r="C12" s="73" t="n">
        <v>158117.67</v>
      </c>
      <c r="D12" s="145" t="n">
        <v>81582.96000000001</v>
      </c>
      <c r="E12" s="145" t="n">
        <v>100609.06</v>
      </c>
      <c r="F12" s="145" t="n">
        <v>390614.68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374</v>
      </c>
      <c r="K12" s="63">
        <f>IFERROR(E12/J12,0)</f>
        <v/>
      </c>
      <c r="L12" s="61" t="n">
        <v>29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/>
      </c>
      <c r="O12" s="172">
        <f>IFERROR(N12/SUM(J12),0)</f>
        <v/>
      </c>
      <c r="P12" s="260" t="n">
        <v>14752.17</v>
      </c>
      <c r="Q12" s="89">
        <f>SUM(P12/E12)</f>
        <v/>
      </c>
      <c r="R12" s="260" t="n">
        <v>9529.57</v>
      </c>
      <c r="S12" s="89">
        <f>SUM(R12/E12)</f>
        <v/>
      </c>
      <c r="T12" s="130" t="n">
        <v>5126.25</v>
      </c>
      <c r="U12" s="26" t="n"/>
    </row>
    <row r="13" ht="15.6" customHeight="1">
      <c r="A13" s="198" t="inlineStr">
        <is>
          <t>Lynnwood</t>
        </is>
      </c>
      <c r="B13" s="200">
        <f>'13 - 19 Sept 2021'!E13</f>
        <v/>
      </c>
      <c r="C13" s="73" t="n">
        <v>214469.54</v>
      </c>
      <c r="D13" s="145" t="n">
        <v>137655.57</v>
      </c>
      <c r="E13" s="145" t="n">
        <v>171278.52</v>
      </c>
      <c r="F13" s="145" t="n">
        <v>654345.74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670</v>
      </c>
      <c r="K13" s="63">
        <f>IFERROR(E13/J13,0)</f>
        <v/>
      </c>
      <c r="L13" s="61" t="n">
        <v>67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/>
      </c>
      <c r="O13" s="172">
        <f>IFERROR(N13/SUM(J13),0)</f>
        <v/>
      </c>
      <c r="P13" s="260" t="n">
        <v>25093.83</v>
      </c>
      <c r="Q13" s="89">
        <f>SUM(P13/E13)</f>
        <v/>
      </c>
      <c r="R13" s="260" t="n">
        <v>22341.96</v>
      </c>
      <c r="S13" s="89">
        <f>SUM(R13/E13)</f>
        <v/>
      </c>
      <c r="T13" s="130" t="n">
        <v>5265.5</v>
      </c>
      <c r="U13" s="26" t="n"/>
    </row>
    <row r="14" hidden="1" ht="15.6" customHeight="1">
      <c r="A14" s="198" t="inlineStr">
        <is>
          <t>Wellington</t>
        </is>
      </c>
      <c r="B14" s="200">
        <f>'13 - 19 Sept 2021'!E14</f>
        <v/>
      </c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Sept 2021'!E15</f>
        <v/>
      </c>
      <c r="C15" s="73" t="n">
        <v>275297.55</v>
      </c>
      <c r="D15" s="145" t="n">
        <v>291679.65</v>
      </c>
      <c r="E15" s="145" t="n">
        <v>232193.16</v>
      </c>
      <c r="F15" s="145" t="n">
        <v>660790.35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706</v>
      </c>
      <c r="K15" s="63">
        <f>IFERROR(E15/J15,0)</f>
        <v/>
      </c>
      <c r="L15" s="61" t="n">
        <v>33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25436.52</v>
      </c>
      <c r="S15" s="89">
        <f>SUM(R15/E15)</f>
        <v/>
      </c>
      <c r="T15" s="130" t="n">
        <v>8428.200000000001</v>
      </c>
      <c r="U15" s="9" t="n"/>
    </row>
    <row r="16" ht="15.6" customHeight="1">
      <c r="A16" s="198" t="inlineStr">
        <is>
          <t>Kyalami Corner</t>
        </is>
      </c>
      <c r="B16" s="200">
        <f>'13 - 19 Sept 2021'!E16</f>
        <v/>
      </c>
      <c r="C16" s="73" t="n">
        <v>136655.46</v>
      </c>
      <c r="D16" s="145" t="n">
        <v>96179.64999999999</v>
      </c>
      <c r="E16" s="145" t="n">
        <v>145486.31</v>
      </c>
      <c r="F16" s="145" t="n">
        <v>506368.47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538</v>
      </c>
      <c r="K16" s="63">
        <f>IFERROR(E16/J16,0)</f>
        <v/>
      </c>
      <c r="L16" s="61" t="n">
        <v>26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/>
      </c>
      <c r="O16" s="172">
        <f>IFERROR(N16/SUM(J16),0)</f>
        <v/>
      </c>
      <c r="P16" s="260" t="n">
        <v>29769.53</v>
      </c>
      <c r="Q16" s="89">
        <f>SUM(P16/E16)</f>
        <v/>
      </c>
      <c r="R16" s="260" t="n">
        <v>23057.08</v>
      </c>
      <c r="S16" s="89">
        <f>SUM(R16/E16)</f>
        <v/>
      </c>
      <c r="T16" s="130" t="n">
        <v>7406.5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Sept 2021'!E17</f>
        <v/>
      </c>
      <c r="C17" s="73" t="n">
        <v>243291.29</v>
      </c>
      <c r="D17" s="145" t="n">
        <v>167831.37</v>
      </c>
      <c r="E17" s="145" t="n">
        <v>181897.73</v>
      </c>
      <c r="F17" s="145" t="n">
        <v>655728.96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716</v>
      </c>
      <c r="K17" s="63">
        <f>IFERROR(E17/J17,0)</f>
        <v/>
      </c>
      <c r="L17" s="61" t="n">
        <v>48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/>
      </c>
      <c r="O17" s="172">
        <f>IFERROR(N17/SUM(J17),0)</f>
        <v/>
      </c>
      <c r="P17" s="260" t="n">
        <v>33803.44</v>
      </c>
      <c r="Q17" s="89">
        <f>SUM(P17/E17)</f>
        <v/>
      </c>
      <c r="R17" s="260" t="n">
        <v>30638.94</v>
      </c>
      <c r="S17" s="89">
        <f>SUM(R17/E17)</f>
        <v/>
      </c>
      <c r="T17" s="130" t="n">
        <v>7646</v>
      </c>
      <c r="U17" s="9" t="n"/>
    </row>
    <row r="18" ht="15.6" customHeight="1">
      <c r="A18" s="198" t="inlineStr">
        <is>
          <t>Queenswood</t>
        </is>
      </c>
      <c r="B18" s="200">
        <f>'13 - 19 Sept 2021'!E18</f>
        <v/>
      </c>
      <c r="C18" s="73" t="n">
        <v>178728.72</v>
      </c>
      <c r="D18" s="73" t="n">
        <v>121073.12</v>
      </c>
      <c r="E18" s="145" t="n">
        <v>148055.02</v>
      </c>
      <c r="F18" s="145" t="n">
        <v>561549.08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595</v>
      </c>
      <c r="K18" s="63">
        <f>IFERROR(E18/J18,0)</f>
        <v/>
      </c>
      <c r="L18" s="61" t="n">
        <v>65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/>
      </c>
      <c r="O18" s="172">
        <f>IFERROR(N18/SUM(J18),0)</f>
        <v/>
      </c>
      <c r="P18" s="260" t="n">
        <v>24813.35</v>
      </c>
      <c r="Q18" s="89">
        <f>SUM(P18/E18)</f>
        <v/>
      </c>
      <c r="R18" s="260" t="n">
        <v>18965.7</v>
      </c>
      <c r="S18" s="89">
        <f>SUM(R18/E18)</f>
        <v/>
      </c>
      <c r="T18" s="130" t="n">
        <v>3109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Sept 2021'!E6</f>
        <v/>
      </c>
      <c r="C6" s="255" t="n">
        <v>247392.33</v>
      </c>
      <c r="D6" s="197" t="n">
        <v>192931.26</v>
      </c>
      <c r="E6" s="268" t="n">
        <v>222289.96</v>
      </c>
      <c r="F6" s="197" t="n">
        <v>141137.18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703</v>
      </c>
      <c r="K6" s="63">
        <f>IFERROR(E6/J6,0)</f>
        <v/>
      </c>
      <c r="L6" s="125" t="n">
        <v>34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/>
      </c>
      <c r="O6" s="171">
        <f>IFERROR(N6/SUM(J6),0)</f>
        <v/>
      </c>
      <c r="P6" s="259" t="n">
        <v>37724.43</v>
      </c>
      <c r="Q6" s="128">
        <f>SUM(P6/E6)</f>
        <v/>
      </c>
      <c r="R6" s="260" t="n">
        <v>10473.52</v>
      </c>
      <c r="S6" s="128">
        <f>SUM(R6/E6)</f>
        <v/>
      </c>
      <c r="T6" s="129" t="n">
        <v>6978.5</v>
      </c>
      <c r="U6" s="26" t="n"/>
    </row>
    <row r="7" ht="15.6" customHeight="1">
      <c r="A7" s="409" t="inlineStr">
        <is>
          <t>Melrose Arch</t>
        </is>
      </c>
      <c r="B7" s="200">
        <f>'20 - 26 Sept 2021'!E7</f>
        <v/>
      </c>
      <c r="C7" s="73" t="n">
        <v>220441.59</v>
      </c>
      <c r="D7" s="145" t="n">
        <v>164012.62</v>
      </c>
      <c r="E7" s="269" t="n">
        <v>195010.91</v>
      </c>
      <c r="F7" s="145" t="n">
        <v>126837.42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771</v>
      </c>
      <c r="K7" s="63">
        <f>IFERROR(E7/J7,0)</f>
        <v/>
      </c>
      <c r="L7" s="61" t="n">
        <v>63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/>
      </c>
      <c r="O7" s="172">
        <f>IFERROR(N7/SUM(J7),0)</f>
        <v/>
      </c>
      <c r="P7" s="260" t="n">
        <v>26849.43</v>
      </c>
      <c r="Q7" s="89">
        <f>SUM(P7/E7)</f>
        <v/>
      </c>
      <c r="R7" s="260" t="n">
        <v>11102.61</v>
      </c>
      <c r="S7" s="89">
        <f>SUM(R7/E7)</f>
        <v/>
      </c>
      <c r="T7" s="130" t="n">
        <v>9276.4</v>
      </c>
      <c r="U7" s="26" t="n"/>
    </row>
    <row r="8" ht="15.6" customHeight="1">
      <c r="A8" s="409" t="inlineStr">
        <is>
          <t>Melville</t>
        </is>
      </c>
      <c r="B8" s="200">
        <f>'20 - 26 Sept 2021'!E8</f>
        <v/>
      </c>
      <c r="C8" s="73" t="n">
        <v>107107.59</v>
      </c>
      <c r="D8" s="145" t="n">
        <v>97836.06</v>
      </c>
      <c r="E8" s="269" t="n">
        <v>130942.05</v>
      </c>
      <c r="F8" s="145" t="n">
        <v>76908.09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529</v>
      </c>
      <c r="K8" s="63">
        <f>IFERROR(E8/J8,0)</f>
        <v/>
      </c>
      <c r="L8" s="61" t="n">
        <v>22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/>
      </c>
      <c r="O8" s="172">
        <f>IFERROR(N8/SUM(J8),0)</f>
        <v/>
      </c>
      <c r="P8" s="260" t="n">
        <v>51463.85</v>
      </c>
      <c r="Q8" s="89">
        <f>SUM(P8/E8)</f>
        <v/>
      </c>
      <c r="R8" s="260" t="n">
        <v>17023.78</v>
      </c>
      <c r="S8" s="89">
        <f>SUM(R8/E8)</f>
        <v/>
      </c>
      <c r="T8" s="130" t="n">
        <v>2358</v>
      </c>
      <c r="U8" s="26" t="n"/>
    </row>
    <row r="9" ht="15.6" customHeight="1">
      <c r="A9" s="409" t="inlineStr">
        <is>
          <t>Rosebank</t>
        </is>
      </c>
      <c r="B9" s="200">
        <f>'20 - 26 Sept 2021'!E9</f>
        <v/>
      </c>
      <c r="C9" s="73" t="n">
        <v>310781.22</v>
      </c>
      <c r="D9" s="145" t="n">
        <v>207464.72</v>
      </c>
      <c r="E9" s="269" t="n">
        <v>238057.19</v>
      </c>
      <c r="F9" s="145" t="n">
        <v>142539.34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846</v>
      </c>
      <c r="K9" s="63">
        <f>IFERROR(E9/J9,0)</f>
        <v/>
      </c>
      <c r="L9" s="61" t="n">
        <v>16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/>
      </c>
      <c r="O9" s="172">
        <f>IFERROR(N9/SUM(J9),0)</f>
        <v/>
      </c>
      <c r="P9" s="260" t="n">
        <v>28873.11</v>
      </c>
      <c r="Q9" s="89">
        <f>SUM(P9/E9)</f>
        <v/>
      </c>
      <c r="R9" s="260" t="n">
        <v>8253</v>
      </c>
      <c r="S9" s="89">
        <f>SUM(R9/E9)</f>
        <v/>
      </c>
      <c r="T9" s="130" t="n">
        <v>4600.3</v>
      </c>
      <c r="U9" s="26" t="n"/>
    </row>
    <row r="10" ht="15.6" customHeight="1">
      <c r="A10" s="409" t="inlineStr">
        <is>
          <t xml:space="preserve">Waterkloof </t>
        </is>
      </c>
      <c r="B10" s="200">
        <f>'20 - 26 Sept 2021'!E10</f>
        <v/>
      </c>
      <c r="C10" s="73" t="n">
        <v>147789.66</v>
      </c>
      <c r="D10" s="145" t="n">
        <v>122448.05</v>
      </c>
      <c r="E10" s="269" t="n">
        <v>135563.96</v>
      </c>
      <c r="F10" s="145" t="n">
        <v>73238.57000000001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527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/>
      </c>
      <c r="O10" s="172">
        <f>IFERROR(N10/SUM(J10),0)</f>
        <v/>
      </c>
      <c r="P10" s="260" t="n">
        <v>28746.72</v>
      </c>
      <c r="Q10" s="89">
        <f>SUM(P10/E10)</f>
        <v/>
      </c>
      <c r="R10" s="260" t="n">
        <v>28717.34</v>
      </c>
      <c r="S10" s="89">
        <f>SUM(R10/E10)</f>
        <v/>
      </c>
      <c r="T10" s="130" t="n">
        <v>4428.3</v>
      </c>
      <c r="U10" s="26" t="n"/>
    </row>
    <row r="11" ht="15.6" customHeight="1">
      <c r="A11" s="409" t="inlineStr">
        <is>
          <t>Eagles Landing</t>
        </is>
      </c>
      <c r="B11" s="200">
        <f>'20 - 26 Sept 2021'!E11</f>
        <v/>
      </c>
      <c r="C11" s="73" t="n">
        <v>310363.95</v>
      </c>
      <c r="D11" s="145" t="n">
        <v>246009.16</v>
      </c>
      <c r="E11" s="269" t="n">
        <v>241827.03</v>
      </c>
      <c r="F11" s="145" t="n">
        <v>129818.55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894</v>
      </c>
      <c r="K11" s="63">
        <f>IFERROR(E11/J11,0)</f>
        <v/>
      </c>
      <c r="L11" s="61" t="n">
        <v>85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/>
      </c>
      <c r="O11" s="172">
        <f>IFERROR(N11/SUM(J11),0)</f>
        <v/>
      </c>
      <c r="P11" s="260" t="n">
        <v>46167.23</v>
      </c>
      <c r="Q11" s="89">
        <f>SUM(P11/E11)</f>
        <v/>
      </c>
      <c r="R11" s="260" t="n">
        <v>21814.96</v>
      </c>
      <c r="S11" s="89">
        <f>SUM(R11/E11)</f>
        <v/>
      </c>
      <c r="T11" s="130" t="n">
        <v>9921.4</v>
      </c>
      <c r="U11" s="26" t="n"/>
    </row>
    <row r="12" ht="15.6" customHeight="1">
      <c r="A12" s="198" t="inlineStr">
        <is>
          <t>Stellenbosch</t>
        </is>
      </c>
      <c r="B12" s="200">
        <f>'20 - 26 Sept 2021'!E12</f>
        <v/>
      </c>
      <c r="C12" s="73" t="n">
        <v>145869.65</v>
      </c>
      <c r="D12" s="145" t="n">
        <v>89526.53</v>
      </c>
      <c r="E12" s="269" t="n">
        <v>132018.34</v>
      </c>
      <c r="F12" s="145" t="n">
        <v>63710.11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492</v>
      </c>
      <c r="K12" s="63">
        <f>IFERROR(E12/J12,0)</f>
        <v/>
      </c>
      <c r="L12" s="61" t="n">
        <v>75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/>
      </c>
      <c r="O12" s="172">
        <f>IFERROR(N12/SUM(J12),0)</f>
        <v/>
      </c>
      <c r="P12" s="260" t="n">
        <v>20519.04</v>
      </c>
      <c r="Q12" s="89">
        <f>SUM(P12/E12)</f>
        <v/>
      </c>
      <c r="R12" s="260" t="n">
        <v>6204.52</v>
      </c>
      <c r="S12" s="89">
        <f>SUM(R12/E12)</f>
        <v/>
      </c>
      <c r="T12" s="130" t="n">
        <v>8279</v>
      </c>
      <c r="U12" s="26" t="n"/>
    </row>
    <row r="13" ht="15.6" customHeight="1">
      <c r="A13" s="198" t="inlineStr">
        <is>
          <t>Lynnwood</t>
        </is>
      </c>
      <c r="B13" s="200">
        <f>'20 - 26 Sept 2021'!E13</f>
        <v/>
      </c>
      <c r="C13" s="73" t="n">
        <v>203625.52</v>
      </c>
      <c r="D13" s="145" t="n">
        <v>174284.54</v>
      </c>
      <c r="E13" s="269" t="n">
        <v>196532.85</v>
      </c>
      <c r="F13" s="145" t="n">
        <v>105023.65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757</v>
      </c>
      <c r="K13" s="63">
        <f>IFERROR(E13/J13,0)</f>
        <v/>
      </c>
      <c r="L13" s="61" t="n">
        <v>98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/>
      </c>
      <c r="O13" s="172">
        <f>IFERROR(N13/SUM(J13),0)</f>
        <v/>
      </c>
      <c r="P13" s="260" t="n">
        <v>33058.09</v>
      </c>
      <c r="Q13" s="89">
        <f>SUM(P13/E13)</f>
        <v/>
      </c>
      <c r="R13" s="260" t="n">
        <v>32995.23</v>
      </c>
      <c r="S13" s="89">
        <f>SUM(R13/E13)</f>
        <v/>
      </c>
      <c r="T13" s="130" t="n">
        <v>4746</v>
      </c>
      <c r="U13" s="26" t="n"/>
    </row>
    <row r="14" hidden="1" ht="15.6" customHeight="1">
      <c r="A14" s="198" t="inlineStr">
        <is>
          <t>Wellington</t>
        </is>
      </c>
      <c r="B14" s="200">
        <f>'20 - 26 Sept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Sept 2021'!E15</f>
        <v/>
      </c>
      <c r="C15" s="73" t="n">
        <v>146491.63</v>
      </c>
      <c r="D15" s="145" t="n">
        <v>154450.5</v>
      </c>
      <c r="E15" s="269" t="n">
        <v>217130.21</v>
      </c>
      <c r="F15" s="145" t="n">
        <v>124502.99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636</v>
      </c>
      <c r="K15" s="63">
        <f>IFERROR(E15/J15,0)</f>
        <v/>
      </c>
      <c r="L15" s="61" t="n">
        <v>28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23724.35</v>
      </c>
      <c r="S15" s="89">
        <f>SUM(R15/E15)</f>
        <v/>
      </c>
      <c r="T15" s="130" t="n">
        <v>4604.4</v>
      </c>
      <c r="U15" s="9" t="n"/>
    </row>
    <row r="16" ht="15.6" customHeight="1">
      <c r="A16" s="198" t="inlineStr">
        <is>
          <t>Kyalami Corner</t>
        </is>
      </c>
      <c r="B16" s="200">
        <f>'20 - 26 Sept 2021'!E16</f>
        <v/>
      </c>
      <c r="C16" s="73" t="n">
        <v>124737.19</v>
      </c>
      <c r="D16" s="145" t="n">
        <v>122050.9</v>
      </c>
      <c r="E16" s="269" t="n">
        <v>142521.04</v>
      </c>
      <c r="F16" s="145" t="n">
        <v>77723.87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557</v>
      </c>
      <c r="K16" s="63">
        <f>IFERROR(E16/J16,0)</f>
        <v/>
      </c>
      <c r="L16" s="61" t="n">
        <v>32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/>
      </c>
      <c r="O16" s="172">
        <f>IFERROR(N16/SUM(J16),0)</f>
        <v/>
      </c>
      <c r="P16" s="260" t="n">
        <v>37837.01</v>
      </c>
      <c r="Q16" s="89">
        <f>SUM(P16/E16)</f>
        <v/>
      </c>
      <c r="R16" s="260" t="n">
        <v>29345.09</v>
      </c>
      <c r="S16" s="89">
        <f>SUM(R16/E16)</f>
        <v/>
      </c>
      <c r="T16" s="130" t="n">
        <v>4888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Sept 2021'!E17</f>
        <v/>
      </c>
      <c r="C17" s="73" t="n">
        <v>187465.36</v>
      </c>
      <c r="D17" s="145" t="n">
        <v>170350.19</v>
      </c>
      <c r="E17" s="269" t="n">
        <v>177000.68</v>
      </c>
      <c r="F17" s="145" t="n">
        <v>98302.25999999999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756</v>
      </c>
      <c r="K17" s="63">
        <f>IFERROR(E17/J17,0)</f>
        <v/>
      </c>
      <c r="L17" s="61" t="n">
        <v>39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/>
      </c>
      <c r="O17" s="172">
        <f>IFERROR(N17/SUM(J17),0)</f>
        <v/>
      </c>
      <c r="P17" s="260" t="n">
        <v>33750.21</v>
      </c>
      <c r="Q17" s="89">
        <f>SUM(P17/E17)</f>
        <v/>
      </c>
      <c r="R17" s="260" t="n">
        <v>33049.39</v>
      </c>
      <c r="S17" s="89">
        <f>SUM(R17/E17)</f>
        <v/>
      </c>
      <c r="T17" s="130" t="n">
        <v>5856.1</v>
      </c>
      <c r="U17" s="9" t="n"/>
    </row>
    <row r="18" ht="15.6" customHeight="1">
      <c r="A18" s="198" t="inlineStr">
        <is>
          <t>Queenswood</t>
        </is>
      </c>
      <c r="B18" s="200">
        <f>'20 - 26 Sept 2021'!E18</f>
        <v/>
      </c>
      <c r="C18" s="73" t="n">
        <v>161171.99</v>
      </c>
      <c r="D18" s="73" t="n">
        <v>134288.32</v>
      </c>
      <c r="E18" s="269" t="n">
        <v>174402.94</v>
      </c>
      <c r="F18" s="145" t="n">
        <v>85434.00999999999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635</v>
      </c>
      <c r="K18" s="63">
        <f>IFERROR(E18/J18,0)</f>
        <v/>
      </c>
      <c r="L18" s="61" t="n">
        <v>50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/>
      </c>
      <c r="O18" s="172">
        <f>IFERROR(N18/SUM(J18),0)</f>
        <v/>
      </c>
      <c r="P18" s="260" t="n">
        <v>24863.42</v>
      </c>
      <c r="Q18" s="89">
        <f>SUM(P18/E18)</f>
        <v/>
      </c>
      <c r="R18" s="260" t="n">
        <v>19125.53</v>
      </c>
      <c r="S18" s="89">
        <f>SUM(R18/E18)</f>
        <v/>
      </c>
      <c r="T18" s="130" t="n">
        <v>4682.5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Sept - 3 Oct 2021'!E6</f>
        <v/>
      </c>
      <c r="C6" s="255" t="n">
        <v>234693.29</v>
      </c>
      <c r="D6" s="197" t="n">
        <v>177764.38</v>
      </c>
      <c r="E6" s="268" t="n">
        <v>239454.65</v>
      </c>
      <c r="F6" s="197" t="n">
        <v>380591.83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84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/>
      </c>
      <c r="O6" s="171">
        <f>IFERROR(N6/SUM(J6),0)</f>
        <v/>
      </c>
      <c r="P6" s="259" t="n">
        <v>40557.74</v>
      </c>
      <c r="Q6" s="128">
        <f>SUM(P6/E6)</f>
        <v/>
      </c>
      <c r="R6" s="260" t="n">
        <v>10333.3</v>
      </c>
      <c r="S6" s="128">
        <f>SUM(R6/E6)</f>
        <v/>
      </c>
      <c r="T6" s="129" t="n">
        <v>7236.6</v>
      </c>
      <c r="U6" s="26" t="n"/>
    </row>
    <row r="7" ht="15.6" customHeight="1">
      <c r="A7" s="409" t="inlineStr">
        <is>
          <t>Melrose Arch</t>
        </is>
      </c>
      <c r="B7" s="200">
        <f>'27 Sept - 3 Oct 2021'!E7</f>
        <v/>
      </c>
      <c r="C7" s="73" t="n">
        <v>178156.7</v>
      </c>
      <c r="D7" s="145" t="n">
        <v>151403.25</v>
      </c>
      <c r="E7" s="269" t="n">
        <v>186940.81</v>
      </c>
      <c r="F7" s="145" t="n">
        <v>313778.23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/>
      </c>
      <c r="O7" s="172">
        <f>IFERROR(N7/SUM(J7),0)</f>
        <v/>
      </c>
      <c r="P7" s="260" t="n">
        <v>23036.97</v>
      </c>
      <c r="Q7" s="89">
        <f>SUM(P7/E7)</f>
        <v/>
      </c>
      <c r="R7" s="260" t="n">
        <v>9703.48</v>
      </c>
      <c r="S7" s="89">
        <f>SUM(R7/E7)</f>
        <v/>
      </c>
      <c r="T7" s="130" t="n">
        <v>6517.6</v>
      </c>
      <c r="U7" s="26" t="n"/>
    </row>
    <row r="8" ht="15.6" customHeight="1">
      <c r="A8" s="409" t="inlineStr">
        <is>
          <t>Melville</t>
        </is>
      </c>
      <c r="B8" s="200">
        <f>'27 Sept - 3 Oct 2021'!E8</f>
        <v/>
      </c>
      <c r="C8" s="73" t="n">
        <v>104958.15</v>
      </c>
      <c r="D8" s="145" t="n">
        <v>87382.74000000001</v>
      </c>
      <c r="E8" s="269" t="n">
        <v>119671.55</v>
      </c>
      <c r="F8" s="145" t="n">
        <v>196579.64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25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/>
      </c>
      <c r="O8" s="172">
        <f>IFERROR(N8/SUM(J8),0)</f>
        <v/>
      </c>
      <c r="P8" s="260" t="n">
        <v>51295.34</v>
      </c>
      <c r="Q8" s="89">
        <f>SUM(P8/E8)</f>
        <v/>
      </c>
      <c r="R8" s="260" t="n">
        <v>12785.74</v>
      </c>
      <c r="S8" s="89">
        <f>SUM(R8/E8)</f>
        <v/>
      </c>
      <c r="T8" s="130" t="n">
        <v>3806.1</v>
      </c>
      <c r="U8" s="26" t="n"/>
    </row>
    <row r="9" ht="15.6" customHeight="1">
      <c r="A9" s="409" t="inlineStr">
        <is>
          <t>Rosebank</t>
        </is>
      </c>
      <c r="B9" s="200">
        <f>'27 Sept - 3 Oct 2021'!E9</f>
        <v/>
      </c>
      <c r="C9" s="73" t="n">
        <v>307459.09</v>
      </c>
      <c r="D9" s="145" t="n">
        <v>215845.33</v>
      </c>
      <c r="E9" s="269" t="n">
        <v>236575.6</v>
      </c>
      <c r="F9" s="145" t="n">
        <v>379114.94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43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/>
      </c>
      <c r="O9" s="172">
        <f>IFERROR(N9/SUM(J9),0)</f>
        <v/>
      </c>
      <c r="P9" s="260" t="n">
        <v>29685.91</v>
      </c>
      <c r="Q9" s="89">
        <f>SUM(P9/E9)</f>
        <v/>
      </c>
      <c r="R9" s="260" t="n">
        <v>11498.43</v>
      </c>
      <c r="S9" s="89">
        <f>SUM(R9/E9)</f>
        <v/>
      </c>
      <c r="T9" s="130" t="n">
        <v>5351.43</v>
      </c>
      <c r="U9" s="26" t="n"/>
    </row>
    <row r="10" ht="15.6" customHeight="1">
      <c r="A10" s="409" t="inlineStr">
        <is>
          <t xml:space="preserve">Waterkloof </t>
        </is>
      </c>
      <c r="B10" s="200">
        <f>'27 Sept - 3 Oct 2021'!E10</f>
        <v/>
      </c>
      <c r="C10" s="73" t="n">
        <v>152374.91</v>
      </c>
      <c r="D10" s="145" t="n">
        <v>131049.88</v>
      </c>
      <c r="E10" s="269" t="n">
        <v>147008.96</v>
      </c>
      <c r="F10" s="145" t="n">
        <v>220247.53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/>
      </c>
      <c r="O10" s="172">
        <f>IFERROR(N10/SUM(J10),0)</f>
        <v/>
      </c>
      <c r="P10" s="260" t="n">
        <v>32247.84</v>
      </c>
      <c r="Q10" s="89">
        <f>SUM(P10/E10)</f>
        <v/>
      </c>
      <c r="R10" s="260" t="n">
        <v>29356</v>
      </c>
      <c r="S10" s="89">
        <f>SUM(R10/E10)</f>
        <v/>
      </c>
      <c r="T10" s="130" t="n">
        <v>2962.5</v>
      </c>
      <c r="U10" s="26" t="n"/>
    </row>
    <row r="11" ht="15.6" customHeight="1">
      <c r="A11" s="409" t="inlineStr">
        <is>
          <t>Eagles Landing</t>
        </is>
      </c>
      <c r="B11" s="200">
        <f>'27 Sept - 3 Oct 2021'!E11</f>
        <v/>
      </c>
      <c r="C11" s="73" t="n">
        <v>330816.72</v>
      </c>
      <c r="D11" s="145" t="n">
        <v>275216.74</v>
      </c>
      <c r="E11" s="269" t="n">
        <v>266901.91</v>
      </c>
      <c r="F11" s="145" t="n">
        <v>396720.46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74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/>
      </c>
      <c r="O11" s="172">
        <f>IFERROR(N11/SUM(J11),0)</f>
        <v/>
      </c>
      <c r="P11" s="260" t="n">
        <v>36553.43</v>
      </c>
      <c r="Q11" s="89">
        <f>SUM(P11/E11)</f>
        <v/>
      </c>
      <c r="R11" s="260" t="n">
        <v>22839.48</v>
      </c>
      <c r="S11" s="89">
        <f>SUM(R11/E11)</f>
        <v/>
      </c>
      <c r="T11" s="130" t="n">
        <v>12453.55</v>
      </c>
      <c r="U11" s="26" t="n"/>
    </row>
    <row r="12" ht="15.6" customHeight="1">
      <c r="A12" s="198" t="inlineStr">
        <is>
          <t>Stellenbosch</t>
        </is>
      </c>
      <c r="B12" s="200">
        <f>'27 Sept - 3 Oct 2021'!E12</f>
        <v/>
      </c>
      <c r="C12" s="73" t="n">
        <v>132859.36</v>
      </c>
      <c r="D12" s="145" t="n">
        <v>87023.78999999999</v>
      </c>
      <c r="E12" s="269" t="n">
        <v>115856.57</v>
      </c>
      <c r="F12" s="145" t="n">
        <v>179566.68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50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/>
      </c>
      <c r="O12" s="172">
        <f>IFERROR(N12/SUM(J12),0)</f>
        <v/>
      </c>
      <c r="P12" s="260" t="n">
        <v>17008.17</v>
      </c>
      <c r="Q12" s="89">
        <f>SUM(P12/E12)</f>
        <v/>
      </c>
      <c r="R12" s="260" t="n">
        <v>7391.17</v>
      </c>
      <c r="S12" s="89">
        <f>SUM(R12/E12)</f>
        <v/>
      </c>
      <c r="T12" s="130" t="n">
        <v>7564</v>
      </c>
      <c r="U12" s="26" t="n"/>
    </row>
    <row r="13" ht="15.6" customHeight="1">
      <c r="A13" s="198" t="inlineStr">
        <is>
          <t>Lynnwood</t>
        </is>
      </c>
      <c r="B13" s="200">
        <f>'27 Sept - 3 Oct 2021'!E13</f>
        <v/>
      </c>
      <c r="C13" s="73" t="n">
        <v>196053.8</v>
      </c>
      <c r="D13" s="145" t="n">
        <v>172397.2</v>
      </c>
      <c r="E13" s="269" t="n">
        <v>185099.2</v>
      </c>
      <c r="F13" s="145" t="n">
        <v>290122.85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/>
      </c>
      <c r="O13" s="172">
        <f>IFERROR(N13/SUM(J13),0)</f>
        <v/>
      </c>
      <c r="P13" s="260" t="n">
        <v>26754.52</v>
      </c>
      <c r="Q13" s="89">
        <f>SUM(P13/E13)</f>
        <v/>
      </c>
      <c r="R13" s="260" t="n">
        <v>22819.52</v>
      </c>
      <c r="S13" s="89">
        <f>SUM(R13/E13)</f>
        <v/>
      </c>
      <c r="T13" s="130" t="n">
        <v>5674</v>
      </c>
      <c r="U13" s="26" t="n"/>
    </row>
    <row r="14" hidden="1" ht="15.6" customHeight="1">
      <c r="A14" s="198" t="inlineStr">
        <is>
          <t>Wellington</t>
        </is>
      </c>
      <c r="B14" s="200">
        <f>'27 Sept - 3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Sept - 3 Oct 2021'!E15</f>
        <v/>
      </c>
      <c r="C15" s="73" t="n">
        <v>163134.86</v>
      </c>
      <c r="D15" s="145" t="n">
        <v>163420.6</v>
      </c>
      <c r="E15" s="269" t="n">
        <v>294560.02</v>
      </c>
      <c r="F15" s="145" t="n">
        <v>419063.01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30600.43</v>
      </c>
      <c r="S15" s="89">
        <f>SUM(R15/E15)</f>
        <v/>
      </c>
      <c r="T15" s="130" t="n">
        <v>5472.95</v>
      </c>
      <c r="U15" s="9" t="n"/>
    </row>
    <row r="16" ht="15.6" customHeight="1">
      <c r="A16" s="198" t="inlineStr">
        <is>
          <t>Kyalami Corner</t>
        </is>
      </c>
      <c r="B16" s="200">
        <f>'27 Sept - 3 Oct 2021'!E16</f>
        <v/>
      </c>
      <c r="C16" s="73" t="n">
        <v>113246.57</v>
      </c>
      <c r="D16" s="145" t="n">
        <v>95734.88</v>
      </c>
      <c r="E16" s="269" t="n">
        <v>154455.85</v>
      </c>
      <c r="F16" s="145" t="n">
        <v>232179.72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/>
      </c>
      <c r="O16" s="172">
        <f>IFERROR(N16/SUM(J16),0)</f>
        <v/>
      </c>
      <c r="P16" s="260" t="n">
        <v>31127.39</v>
      </c>
      <c r="Q16" s="89">
        <f>SUM(P16/E16)</f>
        <v/>
      </c>
      <c r="R16" s="260" t="n">
        <v>21291.87</v>
      </c>
      <c r="S16" s="89">
        <f>SUM(R16/E16)</f>
        <v/>
      </c>
      <c r="T16" s="130" t="n">
        <v>5892.5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Sept - 3 Oct 2021'!E17</f>
        <v/>
      </c>
      <c r="C17" s="73" t="n">
        <v>201796.54</v>
      </c>
      <c r="D17" s="145" t="n">
        <v>164050.76</v>
      </c>
      <c r="E17" s="269" t="n">
        <v>181127.08</v>
      </c>
      <c r="F17" s="145" t="n">
        <v>279429.34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54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/>
      </c>
      <c r="O17" s="172">
        <f>IFERROR(N17/SUM(J17),0)</f>
        <v/>
      </c>
      <c r="P17" s="260" t="n">
        <v>31335.1</v>
      </c>
      <c r="Q17" s="89">
        <f>SUM(P17/E17)</f>
        <v/>
      </c>
      <c r="R17" s="260" t="n">
        <v>29709.35</v>
      </c>
      <c r="S17" s="89">
        <f>SUM(R17/E17)</f>
        <v/>
      </c>
      <c r="T17" s="130" t="n">
        <v>7889.5</v>
      </c>
      <c r="U17" s="9" t="n"/>
    </row>
    <row r="18" ht="15.6" customHeight="1">
      <c r="A18" s="198" t="inlineStr">
        <is>
          <t>Queenswood</t>
        </is>
      </c>
      <c r="B18" s="200">
        <f>'27 Sept - 3 Oct 2021'!E18</f>
        <v/>
      </c>
      <c r="C18" s="73" t="n">
        <v>148910.86</v>
      </c>
      <c r="D18" s="73" t="n">
        <v>128300.32</v>
      </c>
      <c r="E18" s="269" t="n">
        <v>151769.5</v>
      </c>
      <c r="F18" s="145" t="n">
        <v>237203.54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62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/>
      </c>
      <c r="O18" s="172">
        <f>IFERROR(N18/SUM(J18),0)</f>
        <v/>
      </c>
      <c r="P18" s="260" t="n">
        <v>22780.11</v>
      </c>
      <c r="Q18" s="89">
        <f>SUM(P18/E18)</f>
        <v/>
      </c>
      <c r="R18" s="260" t="n">
        <v>11178.18</v>
      </c>
      <c r="S18" s="89">
        <f>SUM(R18/E18)</f>
        <v/>
      </c>
      <c r="T18" s="130" t="n">
        <v>4995.5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'4 - 10 Oct 2021'!E6</f>
        <v/>
      </c>
      <c r="C6" s="255" t="n">
        <v>220957.5</v>
      </c>
      <c r="D6" s="197" t="n">
        <v>202092.61</v>
      </c>
      <c r="E6" s="268" t="n">
        <v>210772.29</v>
      </c>
      <c r="F6" s="197" t="n">
        <v>591364.12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806</v>
      </c>
      <c r="K6" s="63">
        <f>IFERROR(E6/J6,0)</f>
        <v/>
      </c>
      <c r="L6" s="125" t="n">
        <v>32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/>
      </c>
      <c r="O6" s="171">
        <f>IFERROR(N6/SUM(J6),0)</f>
        <v/>
      </c>
      <c r="P6" s="259" t="n">
        <v>48662.26</v>
      </c>
      <c r="Q6" s="128">
        <f>SUM(P6/E6)</f>
        <v/>
      </c>
      <c r="R6" s="260" t="n">
        <v>5745.3</v>
      </c>
      <c r="S6" s="128">
        <f>SUM(R6/E6)</f>
        <v/>
      </c>
      <c r="T6" s="129" t="n">
        <v>6580.6</v>
      </c>
      <c r="U6" s="26" t="n"/>
    </row>
    <row r="7" ht="15.6" customHeight="1">
      <c r="A7" s="409" t="inlineStr">
        <is>
          <t>Melrose Arch</t>
        </is>
      </c>
      <c r="B7" s="200">
        <f>'4 - 10 Oct 2021'!E7</f>
        <v/>
      </c>
      <c r="C7" s="73" t="n">
        <v>212391.65</v>
      </c>
      <c r="D7" s="145" t="n">
        <v>144428.65</v>
      </c>
      <c r="E7" s="269" t="n">
        <v>168351.72</v>
      </c>
      <c r="F7" s="145" t="n">
        <v>482129.95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720</v>
      </c>
      <c r="K7" s="63">
        <f>IFERROR(E7/J7,0)</f>
        <v/>
      </c>
      <c r="L7" s="61" t="n">
        <v>47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/>
      </c>
      <c r="O7" s="172">
        <f>IFERROR(N7/SUM(J7),0)</f>
        <v/>
      </c>
      <c r="P7" s="260" t="n">
        <v>24114.3</v>
      </c>
      <c r="Q7" s="89">
        <f>SUM(P7/E7)</f>
        <v/>
      </c>
      <c r="R7" s="260" t="n">
        <v>16900.78</v>
      </c>
      <c r="S7" s="89">
        <f>SUM(R7/E7)</f>
        <v/>
      </c>
      <c r="T7" s="130" t="n">
        <v>7337.9</v>
      </c>
      <c r="U7" s="26" t="n"/>
    </row>
    <row r="8" ht="15.6" customHeight="1">
      <c r="A8" s="409" t="inlineStr">
        <is>
          <t>Melville</t>
        </is>
      </c>
      <c r="B8" s="200">
        <f>'4 - 10 Oct 2021'!E8</f>
        <v/>
      </c>
      <c r="C8" s="73" t="n">
        <v>108340.48</v>
      </c>
      <c r="D8" s="145" t="n">
        <v>96801.22</v>
      </c>
      <c r="E8" s="269" t="n">
        <v>123446.2</v>
      </c>
      <c r="F8" s="145" t="n">
        <v>320025.84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522</v>
      </c>
      <c r="K8" s="63">
        <f>IFERROR(E8/J8,0)</f>
        <v/>
      </c>
      <c r="L8" s="61" t="n">
        <v>14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/>
      </c>
      <c r="O8" s="172">
        <f>IFERROR(N8/SUM(J8),0)</f>
        <v/>
      </c>
      <c r="P8" s="260" t="n">
        <v>48557.26</v>
      </c>
      <c r="Q8" s="89">
        <f>SUM(P8/E8)</f>
        <v/>
      </c>
      <c r="R8" s="260" t="n">
        <v>17156.91</v>
      </c>
      <c r="S8" s="89">
        <f>SUM(R8/E8)</f>
        <v/>
      </c>
      <c r="T8" s="130" t="n">
        <v>5207.3</v>
      </c>
      <c r="U8" s="26" t="n"/>
    </row>
    <row r="9" ht="15.6" customHeight="1">
      <c r="A9" s="409" t="inlineStr">
        <is>
          <t>Rosebank</t>
        </is>
      </c>
      <c r="B9" s="200">
        <f>'4 - 10 Oct 2021'!E9</f>
        <v/>
      </c>
      <c r="C9" s="73" t="n">
        <v>321762.17</v>
      </c>
      <c r="D9" s="145" t="n">
        <v>220338.06</v>
      </c>
      <c r="E9" s="269" t="n">
        <v>197865.6</v>
      </c>
      <c r="F9" s="145" t="n">
        <v>576980.54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879</v>
      </c>
      <c r="K9" s="63">
        <f>IFERROR(E9/J9,0)</f>
        <v/>
      </c>
      <c r="L9" s="61" t="n">
        <v>23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/>
      </c>
      <c r="O9" s="172">
        <f>IFERROR(N9/SUM(J9),0)</f>
        <v/>
      </c>
      <c r="P9" s="260" t="n">
        <v>37833.39</v>
      </c>
      <c r="Q9" s="89">
        <f>SUM(P9/E9)</f>
        <v/>
      </c>
      <c r="R9" s="260" t="n">
        <v>9950.98</v>
      </c>
      <c r="S9" s="89">
        <f>SUM(R9/E9)</f>
        <v/>
      </c>
      <c r="T9" s="130" t="n">
        <v>3933</v>
      </c>
      <c r="U9" s="26" t="n"/>
    </row>
    <row r="10" ht="15.6" customHeight="1">
      <c r="A10" s="409" t="inlineStr">
        <is>
          <t xml:space="preserve">Waterkloof </t>
        </is>
      </c>
      <c r="B10" s="200">
        <f>'4 - 10 Oct 2021'!E10</f>
        <v/>
      </c>
      <c r="C10" s="73" t="n">
        <v>138165.29</v>
      </c>
      <c r="D10" s="145" t="n">
        <v>113795.78</v>
      </c>
      <c r="E10" s="269" t="n">
        <v>139222.35</v>
      </c>
      <c r="F10" s="145" t="n">
        <v>359469.87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510</v>
      </c>
      <c r="K10" s="63">
        <f>IFERROR(E10/J10,0)</f>
        <v/>
      </c>
      <c r="L10" s="61" t="n">
        <v>47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/>
      </c>
      <c r="O10" s="172">
        <f>IFERROR(N10/SUM(J10),0)</f>
        <v/>
      </c>
      <c r="P10" s="260" t="n">
        <v>32667.39</v>
      </c>
      <c r="Q10" s="89">
        <f>SUM(P10/E10)</f>
        <v/>
      </c>
      <c r="R10" s="260" t="n">
        <v>26269.52</v>
      </c>
      <c r="S10" s="89">
        <f>SUM(R10/E10)</f>
        <v/>
      </c>
      <c r="T10" s="130" t="n">
        <v>3770.5</v>
      </c>
      <c r="U10" s="26" t="n"/>
    </row>
    <row r="11" ht="15.6" customHeight="1">
      <c r="A11" s="409" t="inlineStr">
        <is>
          <t>Eagles Landing</t>
        </is>
      </c>
      <c r="B11" s="200">
        <f>'4 - 10 Oct 2021'!E11</f>
        <v/>
      </c>
      <c r="C11" s="73" t="n">
        <v>325751.75</v>
      </c>
      <c r="D11" s="145" t="n">
        <v>229531.73</v>
      </c>
      <c r="E11" s="269" t="n">
        <v>235839.13</v>
      </c>
      <c r="F11" s="145" t="n">
        <v>632559.59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881</v>
      </c>
      <c r="K11" s="63">
        <f>IFERROR(E11/J11,0)</f>
        <v/>
      </c>
      <c r="L11" s="61" t="n">
        <v>92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/>
      </c>
      <c r="O11" s="172">
        <f>IFERROR(N11/SUM(J11),0)</f>
        <v/>
      </c>
      <c r="P11" s="260" t="n">
        <v>38849.7</v>
      </c>
      <c r="Q11" s="89">
        <f>SUM(P11/E11)</f>
        <v/>
      </c>
      <c r="R11" s="260" t="n">
        <v>19919.48</v>
      </c>
      <c r="S11" s="89">
        <f>SUM(R11/E11)</f>
        <v/>
      </c>
      <c r="T11" s="130" t="n">
        <v>19586</v>
      </c>
      <c r="U11" s="26" t="n"/>
    </row>
    <row r="12" ht="15.6" customHeight="1">
      <c r="A12" s="198" t="inlineStr">
        <is>
          <t>Stellenbosch</t>
        </is>
      </c>
      <c r="B12" s="200">
        <f>'4 - 10 Oct 2021'!E12</f>
        <v/>
      </c>
      <c r="C12" s="73" t="n">
        <v>144094.25</v>
      </c>
      <c r="D12" s="145" t="n">
        <v>93061.89999999999</v>
      </c>
      <c r="E12" s="269" t="n">
        <v>109318.99</v>
      </c>
      <c r="F12" s="145" t="n">
        <v>288885.67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459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/>
      </c>
      <c r="O12" s="172">
        <f>IFERROR(N12/SUM(J12),0)</f>
        <v/>
      </c>
      <c r="P12" s="260" t="n">
        <v>16654.52</v>
      </c>
      <c r="Q12" s="89">
        <f>SUM(P12/E12)</f>
        <v/>
      </c>
      <c r="R12" s="260" t="n">
        <v>9950.98</v>
      </c>
      <c r="S12" s="89">
        <f>SUM(R12/E12)</f>
        <v/>
      </c>
      <c r="T12" s="130" t="n">
        <v>8706.5</v>
      </c>
      <c r="U12" s="26" t="n"/>
    </row>
    <row r="13" ht="15.6" customHeight="1">
      <c r="A13" s="198" t="inlineStr">
        <is>
          <t>Lynnwood</t>
        </is>
      </c>
      <c r="B13" s="200">
        <f>'4 - 10 Oct 2021'!E13</f>
        <v/>
      </c>
      <c r="C13" s="73" t="n">
        <v>204599.91</v>
      </c>
      <c r="D13" s="145" t="n">
        <v>160602.72</v>
      </c>
      <c r="E13" s="269" t="n">
        <v>184530.42</v>
      </c>
      <c r="F13" s="145" t="n">
        <v>474653.27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722</v>
      </c>
      <c r="K13" s="63">
        <f>IFERROR(E13/J13,0)</f>
        <v/>
      </c>
      <c r="L13" s="61" t="n">
        <v>95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/>
      </c>
      <c r="O13" s="172">
        <f>IFERROR(N13/SUM(J13),0)</f>
        <v/>
      </c>
      <c r="P13" s="260" t="n">
        <v>29080.83</v>
      </c>
      <c r="Q13" s="89">
        <f>SUM(P13/E13)</f>
        <v/>
      </c>
      <c r="R13" s="260" t="n">
        <v>22990.04</v>
      </c>
      <c r="S13" s="89">
        <f>SUM(R13/E13)</f>
        <v/>
      </c>
      <c r="T13" s="130" t="n">
        <v>4937.5</v>
      </c>
      <c r="U13" s="26" t="n"/>
    </row>
    <row r="14" hidden="1" ht="15.6" customHeight="1">
      <c r="A14" s="198" t="inlineStr">
        <is>
          <t>Wellington</t>
        </is>
      </c>
      <c r="B14" s="200">
        <f>'4 - 10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'4 - 10 Oct 2021'!E15</f>
        <v/>
      </c>
      <c r="C15" s="73" t="n">
        <v>180048.8</v>
      </c>
      <c r="D15" s="145" t="n">
        <v>178044.1</v>
      </c>
      <c r="E15" s="269" t="n">
        <v>172063.63</v>
      </c>
      <c r="F15" s="145" t="n">
        <v>591126.64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843</v>
      </c>
      <c r="K15" s="63">
        <f>IFERROR(E15/J15,0)</f>
        <v/>
      </c>
      <c r="L15" s="61" t="n">
        <v>60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17790.87</v>
      </c>
      <c r="S15" s="89">
        <f>SUM(R15/E15)</f>
        <v/>
      </c>
      <c r="T15" s="130" t="n">
        <v>4273.3</v>
      </c>
      <c r="U15" s="9" t="n"/>
    </row>
    <row r="16" ht="15.6" customHeight="1">
      <c r="A16" s="198" t="inlineStr">
        <is>
          <t>Kyalami Corner</t>
        </is>
      </c>
      <c r="B16" s="200">
        <f>'4 - 10 Oct 2021'!E16</f>
        <v/>
      </c>
      <c r="C16" s="73" t="n">
        <v>117244.55</v>
      </c>
      <c r="D16" s="145" t="n">
        <v>108945.64</v>
      </c>
      <c r="E16" s="269" t="n">
        <v>153694.29</v>
      </c>
      <c r="F16" s="145" t="n">
        <v>385874.01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/>
      </c>
      <c r="O16" s="172">
        <f>IFERROR(N16/SUM(J16),0)</f>
        <v/>
      </c>
      <c r="P16" s="260" t="n">
        <v>37183.57</v>
      </c>
      <c r="Q16" s="89">
        <f>SUM(P16/E16)</f>
        <v/>
      </c>
      <c r="R16" s="260" t="n">
        <v>27682.74</v>
      </c>
      <c r="S16" s="89">
        <f>SUM(R16/E16)</f>
        <v/>
      </c>
      <c r="T16" s="130" t="n">
        <v>6004</v>
      </c>
      <c r="U16" s="9" t="n"/>
      <c r="X16" s="238" t="n"/>
    </row>
    <row r="17" ht="15.6" customHeight="1">
      <c r="A17" s="198" t="inlineStr">
        <is>
          <t>Paulshof</t>
        </is>
      </c>
      <c r="B17" s="200">
        <f>'4 - 10 Oct 2021'!E17</f>
        <v/>
      </c>
      <c r="C17" s="73" t="n">
        <v>219205.08</v>
      </c>
      <c r="D17" s="145" t="n">
        <v>186599.06</v>
      </c>
      <c r="E17" s="269" t="n">
        <v>180670.32</v>
      </c>
      <c r="F17" s="145" t="n">
        <v>460099.66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751</v>
      </c>
      <c r="K17" s="63">
        <f>IFERROR(E17/J17,0)</f>
        <v/>
      </c>
      <c r="L17" s="61" t="n">
        <v>66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/>
      </c>
      <c r="O17" s="172">
        <f>IFERROR(N17/SUM(J17),0)</f>
        <v/>
      </c>
      <c r="P17" s="260" t="n">
        <v>40321.56</v>
      </c>
      <c r="Q17" s="89">
        <f>SUM(P17/E17)</f>
        <v/>
      </c>
      <c r="R17" s="260" t="n">
        <v>22966.8</v>
      </c>
      <c r="S17" s="89">
        <f>SUM(R17/E17)</f>
        <v/>
      </c>
      <c r="T17" s="130" t="n">
        <v>7115.4</v>
      </c>
      <c r="U17" s="9" t="n"/>
    </row>
    <row r="18" ht="15.6" customHeight="1">
      <c r="A18" s="198" t="inlineStr">
        <is>
          <t>Queenswood</t>
        </is>
      </c>
      <c r="B18" s="200">
        <f>'4 - 10 Oct 2021'!E18</f>
        <v/>
      </c>
      <c r="C18" s="73" t="n">
        <v>152946.78</v>
      </c>
      <c r="D18" s="73" t="n">
        <v>134728.09</v>
      </c>
      <c r="E18" s="269" t="n">
        <v>150727.65</v>
      </c>
      <c r="F18" s="145" t="n">
        <v>387931.19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597</v>
      </c>
      <c r="K18" s="63">
        <f>IFERROR(E18/J18,0)</f>
        <v/>
      </c>
      <c r="L18" s="61" t="n">
        <v>87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/>
      </c>
      <c r="O18" s="172">
        <f>IFERROR(N18/SUM(J18),0)</f>
        <v/>
      </c>
      <c r="P18" s="260" t="n">
        <v>26412.65</v>
      </c>
      <c r="Q18" s="89">
        <f>SUM(P18/E18)</f>
        <v/>
      </c>
      <c r="R18" s="260" t="n">
        <v>10336.8</v>
      </c>
      <c r="S18" s="89">
        <f>SUM(R18/E18)</f>
        <v/>
      </c>
      <c r="T18" s="130" t="n">
        <v>4202.5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'11 - 17 Oct 2021'!E6</f>
        <v/>
      </c>
      <c r="C6" s="255" t="n">
        <v>235865.33</v>
      </c>
      <c r="D6" s="197" t="n">
        <v>214564.31</v>
      </c>
      <c r="E6" s="268" t="n">
        <v>202623.52</v>
      </c>
      <c r="F6" s="197" t="n">
        <v>793987.64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647</v>
      </c>
      <c r="K6" s="63">
        <f>IFERROR(E6/J6,0)</f>
        <v/>
      </c>
      <c r="L6" s="125" t="n">
        <v>43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/>
      </c>
      <c r="O6" s="171">
        <f>IFERROR(N6/SUM(J6),0)</f>
        <v/>
      </c>
      <c r="P6" s="259" t="n">
        <v>39667.38</v>
      </c>
      <c r="Q6" s="128">
        <f>SUM(P6/E6)</f>
        <v/>
      </c>
      <c r="R6" s="260" t="n">
        <v>6685.16</v>
      </c>
      <c r="S6" s="128">
        <f>SUM(R6/E6)</f>
        <v/>
      </c>
      <c r="T6" s="129" t="n">
        <v>5398.77</v>
      </c>
      <c r="U6" s="26" t="n"/>
    </row>
    <row r="7" ht="15.6" customHeight="1">
      <c r="A7" s="409" t="inlineStr">
        <is>
          <t>Melrose Arch</t>
        </is>
      </c>
      <c r="B7" s="200">
        <f>'11 - 17 Oct 2021'!E7</f>
        <v/>
      </c>
      <c r="C7" s="73" t="n">
        <v>214438.21</v>
      </c>
      <c r="D7" s="145" t="n">
        <v>126698.91</v>
      </c>
      <c r="E7" s="269" t="n">
        <v>214773.59</v>
      </c>
      <c r="F7" s="145" t="n">
        <v>696903.54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701</v>
      </c>
      <c r="K7" s="63">
        <f>IFERROR(E7/J7,0)</f>
        <v/>
      </c>
      <c r="L7" s="61" t="n">
        <v>57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/>
      </c>
      <c r="O7" s="172">
        <f>IFERROR(N7/SUM(J7),0)</f>
        <v/>
      </c>
      <c r="P7" s="260" t="n">
        <v>27781.1</v>
      </c>
      <c r="Q7" s="89">
        <f>SUM(P7/E7)</f>
        <v/>
      </c>
      <c r="R7" s="260" t="n">
        <v>26841.39</v>
      </c>
      <c r="S7" s="89">
        <f>SUM(R7/E7)</f>
        <v/>
      </c>
      <c r="T7" s="130" t="n">
        <v>6256.21</v>
      </c>
      <c r="U7" s="26" t="n"/>
    </row>
    <row r="8" ht="15.6" customHeight="1">
      <c r="A8" s="409" t="inlineStr">
        <is>
          <t>Melville</t>
        </is>
      </c>
      <c r="B8" s="200">
        <f>'11 - 17 Oct 2021'!E8</f>
        <v/>
      </c>
      <c r="C8" s="73" t="n">
        <v>120214.26</v>
      </c>
      <c r="D8" s="145" t="n">
        <v>106467.28</v>
      </c>
      <c r="E8" s="269" t="n">
        <v>127214.41</v>
      </c>
      <c r="F8" s="145" t="n">
        <v>447240.25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487</v>
      </c>
      <c r="K8" s="63">
        <f>IFERROR(E8/J8,0)</f>
        <v/>
      </c>
      <c r="L8" s="61" t="n">
        <v>30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/>
      </c>
      <c r="O8" s="172">
        <f>IFERROR(N8/SUM(J8),0)</f>
        <v/>
      </c>
      <c r="P8" s="260" t="n">
        <v>47267.09</v>
      </c>
      <c r="Q8" s="89">
        <f>SUM(P8/E8)</f>
        <v/>
      </c>
      <c r="R8" s="260" t="n">
        <v>15606.52</v>
      </c>
      <c r="S8" s="89">
        <f>SUM(R8/E8)</f>
        <v/>
      </c>
      <c r="T8" s="130" t="n">
        <v>2265</v>
      </c>
      <c r="U8" s="26" t="n"/>
    </row>
    <row r="9" ht="15.6" customHeight="1">
      <c r="A9" s="409" t="inlineStr">
        <is>
          <t>Rosebank</t>
        </is>
      </c>
      <c r="B9" s="200">
        <f>'11 - 17 Oct 2021'!E9</f>
        <v/>
      </c>
      <c r="C9" s="73" t="n">
        <v>310997.36</v>
      </c>
      <c r="D9" s="145" t="n">
        <v>208535.73</v>
      </c>
      <c r="E9" s="269" t="n">
        <v>169425.82</v>
      </c>
      <c r="F9" s="145" t="n">
        <v>746406.36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650</v>
      </c>
      <c r="K9" s="63">
        <f>IFERROR(E9/J9,0)</f>
        <v/>
      </c>
      <c r="L9" s="61" t="n">
        <v>32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/>
      </c>
      <c r="O9" s="172">
        <f>IFERROR(N9/SUM(J9),0)</f>
        <v/>
      </c>
      <c r="P9" s="260" t="n">
        <v>17829.43</v>
      </c>
      <c r="Q9" s="89">
        <f>SUM(P9/E9)</f>
        <v/>
      </c>
      <c r="R9" s="260" t="n">
        <v>6470.39</v>
      </c>
      <c r="S9" s="89">
        <f>SUM(R9/E9)</f>
        <v/>
      </c>
      <c r="T9" s="130" t="n">
        <v>4998.5</v>
      </c>
      <c r="U9" s="26" t="n"/>
    </row>
    <row r="10" ht="15.6" customHeight="1">
      <c r="A10" s="409" t="inlineStr">
        <is>
          <t xml:space="preserve">Waterkloof </t>
        </is>
      </c>
      <c r="B10" s="200">
        <f>'11 - 17 Oct 2021'!E10</f>
        <v/>
      </c>
      <c r="C10" s="73" t="n">
        <v>136515.1</v>
      </c>
      <c r="D10" s="145" t="n">
        <v>137760.55</v>
      </c>
      <c r="E10" s="269" t="n">
        <v>133813.39</v>
      </c>
      <c r="F10" s="145" t="n">
        <v>493283.26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515</v>
      </c>
      <c r="K10" s="63">
        <f>IFERROR(E10/J10,0)</f>
        <v/>
      </c>
      <c r="L10" s="61" t="n">
        <v>29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/>
      </c>
      <c r="O10" s="172">
        <f>IFERROR(N10/SUM(J10),0)</f>
        <v/>
      </c>
      <c r="P10" s="260" t="n">
        <v>37237.13</v>
      </c>
      <c r="Q10" s="89">
        <f>SUM(P10/E10)</f>
        <v/>
      </c>
      <c r="R10" s="260" t="n">
        <v>16447.13</v>
      </c>
      <c r="S10" s="89">
        <f>SUM(R10/E10)</f>
        <v/>
      </c>
      <c r="T10" s="130" t="n">
        <v>5509.5</v>
      </c>
      <c r="U10" s="26" t="n"/>
    </row>
    <row r="11" ht="15.6" customHeight="1">
      <c r="A11" s="409" t="inlineStr">
        <is>
          <t>Eagles Landing</t>
        </is>
      </c>
      <c r="B11" s="200">
        <f>'11 - 17 Oct 2021'!E11</f>
        <v/>
      </c>
      <c r="C11" s="73" t="n">
        <v>315240.35</v>
      </c>
      <c r="D11" s="145" t="n">
        <v>250462.33</v>
      </c>
      <c r="E11" s="269" t="n">
        <v>233857.32</v>
      </c>
      <c r="F11" s="145" t="n">
        <v>866416.91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827</v>
      </c>
      <c r="K11" s="63">
        <f>IFERROR(E11/J11,0)</f>
        <v/>
      </c>
      <c r="L11" s="61" t="n">
        <v>66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/>
      </c>
      <c r="O11" s="172">
        <f>IFERROR(N11/SUM(J11),0)</f>
        <v/>
      </c>
      <c r="P11" s="260" t="n">
        <v>42495.09</v>
      </c>
      <c r="Q11" s="89">
        <f>SUM(P11/E11)</f>
        <v/>
      </c>
      <c r="R11" s="260" t="n">
        <v>20547.74</v>
      </c>
      <c r="S11" s="89">
        <f>SUM(R11/E11)</f>
        <v/>
      </c>
      <c r="T11" s="130" t="n">
        <v>11625.1</v>
      </c>
      <c r="U11" s="26" t="n"/>
    </row>
    <row r="12" ht="15.6" customHeight="1">
      <c r="A12" s="198" t="inlineStr">
        <is>
          <t>Stellenbosch</t>
        </is>
      </c>
      <c r="B12" s="200">
        <f>'11 - 17 Oct 2021'!E12</f>
        <v/>
      </c>
      <c r="C12" s="73" t="n">
        <v>141945</v>
      </c>
      <c r="D12" s="145" t="n">
        <v>95623.24000000001</v>
      </c>
      <c r="E12" s="269" t="n">
        <v>100278.77</v>
      </c>
      <c r="F12" s="145" t="n">
        <v>389164.44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381</v>
      </c>
      <c r="K12" s="63">
        <f>IFERROR(E12/J12,0)</f>
        <v/>
      </c>
      <c r="L12" s="61" t="n">
        <v>18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/>
      </c>
      <c r="O12" s="172">
        <f>IFERROR(N12/SUM(J12),0)</f>
        <v/>
      </c>
      <c r="P12" s="260" t="n">
        <v>18579.35</v>
      </c>
      <c r="Q12" s="89">
        <f>SUM(P12/E12)</f>
        <v/>
      </c>
      <c r="R12" s="260" t="n">
        <v>4287.74</v>
      </c>
      <c r="S12" s="89">
        <f>SUM(R12/E12)</f>
        <v/>
      </c>
      <c r="T12" s="130" t="n">
        <v>11195.9</v>
      </c>
      <c r="U12" s="26" t="n"/>
    </row>
    <row r="13" ht="15.6" customHeight="1">
      <c r="A13" s="198" t="inlineStr">
        <is>
          <t>Lynnwood</t>
        </is>
      </c>
      <c r="B13" s="200">
        <f>'11 - 17 Oct 2021'!E13</f>
        <v/>
      </c>
      <c r="C13" s="73" t="n">
        <v>194970.43</v>
      </c>
      <c r="D13" s="145" t="n">
        <v>175444.48</v>
      </c>
      <c r="E13" s="269" t="n">
        <v>206050.19</v>
      </c>
      <c r="F13" s="145" t="n">
        <v>680703.46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727</v>
      </c>
      <c r="K13" s="63">
        <f>IFERROR(E13/J13,0)</f>
        <v/>
      </c>
      <c r="L13" s="61" t="n">
        <v>48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/>
      </c>
      <c r="O13" s="172">
        <f>IFERROR(N13/SUM(J13),0)</f>
        <v/>
      </c>
      <c r="P13" s="260" t="n">
        <v>27849.48</v>
      </c>
      <c r="Q13" s="89">
        <f>SUM(P13/E13)</f>
        <v/>
      </c>
      <c r="R13" s="260" t="n">
        <v>27569.48</v>
      </c>
      <c r="S13" s="89">
        <f>SUM(R13/E13)</f>
        <v/>
      </c>
      <c r="T13" s="130" t="n">
        <v>5597</v>
      </c>
      <c r="U13" s="26" t="n"/>
    </row>
    <row r="14" hidden="1" ht="15.6" customHeight="1">
      <c r="A14" s="198" t="inlineStr">
        <is>
          <t>Wellington</t>
        </is>
      </c>
      <c r="B14" s="200">
        <f>'11 - 17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'11 - 17 Oct 2021'!E15</f>
        <v/>
      </c>
      <c r="C15" s="73" t="n">
        <v>142533.66</v>
      </c>
      <c r="D15" s="145" t="n">
        <v>200931.58</v>
      </c>
      <c r="E15" s="269" t="n">
        <v>163321.62</v>
      </c>
      <c r="F15" s="145" t="n">
        <v>754448.26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538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13146.96</v>
      </c>
      <c r="S15" s="89">
        <f>SUM(R15/E15)</f>
        <v/>
      </c>
      <c r="T15" s="130" t="n">
        <v>5520.65</v>
      </c>
      <c r="U15" s="9" t="n"/>
    </row>
    <row r="16" ht="15.6" customHeight="1">
      <c r="A16" s="198" t="inlineStr">
        <is>
          <t>Kyalami Corner</t>
        </is>
      </c>
      <c r="B16" s="200">
        <f>'11 - 17 Oct 2021'!E16</f>
        <v/>
      </c>
      <c r="C16" s="73" t="n">
        <v>120179.35</v>
      </c>
      <c r="D16" s="145" t="n">
        <v>107591.84</v>
      </c>
      <c r="E16" s="269" t="n">
        <v>142695.09</v>
      </c>
      <c r="F16" s="145" t="n">
        <v>528569.1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531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/>
      </c>
      <c r="O16" s="172">
        <f>IFERROR(N16/SUM(J16),0)</f>
        <v/>
      </c>
      <c r="P16" s="260" t="n">
        <v>35545.04</v>
      </c>
      <c r="Q16" s="89">
        <f>SUM(P16/E16)</f>
        <v/>
      </c>
      <c r="R16" s="260" t="n">
        <v>23838.57</v>
      </c>
      <c r="S16" s="89">
        <f>SUM(R16/E16)</f>
        <v/>
      </c>
      <c r="T16" s="130" t="n">
        <v>4814.4</v>
      </c>
      <c r="U16" s="9" t="n"/>
      <c r="X16" s="238" t="n"/>
    </row>
    <row r="17" ht="15.6" customHeight="1">
      <c r="A17" s="198" t="inlineStr">
        <is>
          <t>Paulshof</t>
        </is>
      </c>
      <c r="B17" s="200">
        <f>'11 - 17 Oct 2021'!E17</f>
        <v/>
      </c>
      <c r="C17" s="73" t="n">
        <v>227123.11</v>
      </c>
      <c r="D17" s="145" t="n">
        <v>179614.8</v>
      </c>
      <c r="E17" s="269" t="n">
        <v>194587.65</v>
      </c>
      <c r="F17" s="145" t="n">
        <v>654687.3100000001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/>
      </c>
      <c r="O17" s="172">
        <f>IFERROR(N17/SUM(J17),0)</f>
        <v/>
      </c>
      <c r="P17" s="260" t="n">
        <v>29193.87</v>
      </c>
      <c r="Q17" s="89">
        <f>SUM(P17/E17)</f>
        <v/>
      </c>
      <c r="R17" s="260" t="n">
        <v>25185.39</v>
      </c>
      <c r="S17" s="89">
        <f>SUM(R17/E17)</f>
        <v/>
      </c>
      <c r="T17" s="130" t="n">
        <v>6149.4</v>
      </c>
      <c r="U17" s="9" t="n"/>
    </row>
    <row r="18" ht="15.6" customHeight="1">
      <c r="A18" s="198" t="inlineStr">
        <is>
          <t>Queenswood</t>
        </is>
      </c>
      <c r="B18" s="200">
        <f>'11 - 17 Oct 2021'!E18</f>
        <v/>
      </c>
      <c r="C18" s="73" t="n">
        <v>161595.07</v>
      </c>
      <c r="D18" s="73" t="n">
        <v>155614.62</v>
      </c>
      <c r="E18" s="269" t="n">
        <v>164997.15</v>
      </c>
      <c r="F18" s="145" t="n">
        <v>552928.34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/>
      </c>
      <c r="O18" s="172">
        <f>IFERROR(N18/SUM(J18),0)</f>
        <v/>
      </c>
      <c r="P18" s="260" t="n">
        <v>20758.35</v>
      </c>
      <c r="Q18" s="89">
        <f>SUM(P18/E18)</f>
        <v/>
      </c>
      <c r="R18" s="260" t="n">
        <v>15352.65</v>
      </c>
      <c r="S18" s="89">
        <f>SUM(R18/E18)</f>
        <v/>
      </c>
      <c r="T18" s="130" t="n">
        <v>3808.5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</f>
        <v/>
      </c>
      <c r="C4" s="135">
        <f>SUM(C6:C19)-C14-C19-C10</f>
        <v/>
      </c>
      <c r="D4" s="142">
        <f>SUM(D6:D19)-D19-D10</f>
        <v/>
      </c>
      <c r="E4" s="270">
        <f>SUM(E6:E19)-E19-E10</f>
        <v/>
      </c>
      <c r="F4" s="142">
        <f>SUM(F6:F19)-F19-F10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'18 - 24 Oct 2021'!E6</f>
        <v/>
      </c>
      <c r="C6" s="255" t="n">
        <v>230483.57</v>
      </c>
      <c r="D6" s="197" t="n">
        <v>214590.59</v>
      </c>
      <c r="E6" s="268" t="n">
        <v>239634.11</v>
      </c>
      <c r="F6" s="197" t="n">
        <v>1033621.75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773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/>
      </c>
      <c r="O6" s="171">
        <f>IFERROR(N6/SUM(J6),0)</f>
        <v/>
      </c>
      <c r="P6" s="259" t="n">
        <v>49706.87</v>
      </c>
      <c r="Q6" s="128">
        <f>SUM(P6/E6)</f>
        <v/>
      </c>
      <c r="R6" s="260" t="n">
        <v>7191.61</v>
      </c>
      <c r="S6" s="128">
        <f>SUM(R6/E6)</f>
        <v/>
      </c>
      <c r="T6" s="129" t="n">
        <v>8218</v>
      </c>
      <c r="U6" s="26" t="n"/>
    </row>
    <row r="7" ht="15.6" customHeight="1">
      <c r="A7" s="409" t="inlineStr">
        <is>
          <t>Melrose Arch</t>
        </is>
      </c>
      <c r="B7" s="200">
        <f>'18 - 24 Oct 2021'!E7</f>
        <v/>
      </c>
      <c r="C7" s="73" t="n">
        <v>291263.9</v>
      </c>
      <c r="D7" s="145" t="n">
        <v>179179</v>
      </c>
      <c r="E7" s="269" t="n">
        <v>202838.8</v>
      </c>
      <c r="F7" s="145" t="n">
        <v>899742.34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693</v>
      </c>
      <c r="K7" s="63">
        <f>IFERROR(E7/J7,0)</f>
        <v/>
      </c>
      <c r="L7" s="61" t="n">
        <v>73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/>
      </c>
      <c r="O7" s="172">
        <f>IFERROR(N7/SUM(J7),0)</f>
        <v/>
      </c>
      <c r="P7" s="260" t="n">
        <v>28463.37</v>
      </c>
      <c r="Q7" s="89">
        <f>SUM(P7/E7)</f>
        <v/>
      </c>
      <c r="R7" s="260" t="n">
        <v>24126.19</v>
      </c>
      <c r="S7" s="89">
        <f>SUM(R7/E7)</f>
        <v/>
      </c>
      <c r="T7" s="130" t="n">
        <v>6919.5</v>
      </c>
      <c r="U7" s="26" t="n"/>
    </row>
    <row r="8" ht="15.6" customHeight="1">
      <c r="A8" s="409" t="inlineStr">
        <is>
          <t>Melville</t>
        </is>
      </c>
      <c r="B8" s="200">
        <f>'18 - 24 Oct 2021'!E8</f>
        <v/>
      </c>
      <c r="C8" s="73" t="n">
        <v>105575.36</v>
      </c>
      <c r="D8" s="145" t="n">
        <v>124514.14</v>
      </c>
      <c r="E8" s="269" t="n">
        <v>150231.94</v>
      </c>
      <c r="F8" s="145" t="n">
        <v>597472.1899999999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566</v>
      </c>
      <c r="K8" s="63">
        <f>IFERROR(E8/J8,0)</f>
        <v/>
      </c>
      <c r="L8" s="61" t="n">
        <v>19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/>
      </c>
      <c r="O8" s="172">
        <f>IFERROR(N8/SUM(J8),0)</f>
        <v/>
      </c>
      <c r="P8" s="260" t="n">
        <v>60057.13</v>
      </c>
      <c r="Q8" s="89">
        <f>SUM(P8/E8)</f>
        <v/>
      </c>
      <c r="R8" s="260" t="n">
        <v>16944.35</v>
      </c>
      <c r="S8" s="89">
        <f>SUM(R8/E8)</f>
        <v/>
      </c>
      <c r="T8" s="130" t="n">
        <v>4043.5</v>
      </c>
      <c r="U8" s="26" t="n"/>
    </row>
    <row r="9" ht="15.6" customHeight="1">
      <c r="A9" s="409" t="inlineStr">
        <is>
          <t>Rosebank</t>
        </is>
      </c>
      <c r="B9" s="200">
        <f>'18 - 24 Oct 2021'!E9</f>
        <v/>
      </c>
      <c r="C9" s="73" t="n">
        <v>333384.38</v>
      </c>
      <c r="D9" s="145" t="n">
        <v>262313.21</v>
      </c>
      <c r="E9" s="269" t="n">
        <v>223260.66</v>
      </c>
      <c r="F9" s="145" t="n">
        <v>969667.02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813</v>
      </c>
      <c r="K9" s="63">
        <f>IFERROR(E9/J9,0)</f>
        <v/>
      </c>
      <c r="L9" s="61" t="n">
        <v>30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/>
      </c>
      <c r="O9" s="172">
        <f>IFERROR(N9/SUM(J9),0)</f>
        <v/>
      </c>
      <c r="P9" s="260" t="n">
        <v>23124.13</v>
      </c>
      <c r="Q9" s="89">
        <f>SUM(P9/E9)</f>
        <v/>
      </c>
      <c r="R9" s="260" t="n">
        <v>9478.610000000001</v>
      </c>
      <c r="S9" s="89">
        <f>SUM(R9/E9)</f>
        <v/>
      </c>
      <c r="T9" s="130" t="n">
        <v>5066.6</v>
      </c>
      <c r="U9" s="26" t="n"/>
    </row>
    <row r="10" ht="15.6" customHeight="1">
      <c r="A10" s="409" t="inlineStr">
        <is>
          <t xml:space="preserve">Waterkloof </t>
        </is>
      </c>
      <c r="B10" s="200">
        <f>'18 - 24 Oct 2021'!E10</f>
        <v/>
      </c>
      <c r="C10" s="73" t="n">
        <v>143482.11</v>
      </c>
      <c r="D10" s="145" t="n">
        <v>126652.18</v>
      </c>
      <c r="E10" s="269" t="n">
        <v>173613.53</v>
      </c>
      <c r="F10" s="145" t="n">
        <v>666896.79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609</v>
      </c>
      <c r="K10" s="63">
        <f>IFERROR(E10/J10,0)</f>
        <v/>
      </c>
      <c r="L10" s="61" t="n">
        <v>48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/>
      </c>
      <c r="O10" s="172">
        <f>IFERROR(N10/SUM(J10),0)</f>
        <v/>
      </c>
      <c r="P10" s="260" t="n">
        <v>41107.39</v>
      </c>
      <c r="Q10" s="89">
        <f>SUM(P10/E10)</f>
        <v/>
      </c>
      <c r="R10" s="260" t="n">
        <v>31029.35</v>
      </c>
      <c r="S10" s="89">
        <f>SUM(R10/E10)</f>
        <v/>
      </c>
      <c r="T10" s="130" t="n">
        <v>8442.700000000001</v>
      </c>
      <c r="U10" s="26" t="n"/>
    </row>
    <row r="11" ht="15.6" customHeight="1">
      <c r="A11" s="409" t="inlineStr">
        <is>
          <t>Eagles Landing</t>
        </is>
      </c>
      <c r="B11" s="200">
        <f>'18 - 24 Oct 2021'!E11</f>
        <v/>
      </c>
      <c r="C11" s="73" t="n">
        <v>341926.5</v>
      </c>
      <c r="D11" s="145" t="n">
        <v>261185.64</v>
      </c>
      <c r="E11" s="269" t="n">
        <v>237797.15</v>
      </c>
      <c r="F11" s="145" t="n">
        <v>1104214.06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912</v>
      </c>
      <c r="K11" s="63">
        <f>IFERROR(E11/J11,0)</f>
        <v/>
      </c>
      <c r="L11" s="61" t="n">
        <v>61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/>
      </c>
      <c r="O11" s="172">
        <f>IFERROR(N11/SUM(J11),0)</f>
        <v/>
      </c>
      <c r="P11" s="260" t="n">
        <v>40065.09</v>
      </c>
      <c r="Q11" s="89">
        <f>SUM(P11/E11)</f>
        <v/>
      </c>
      <c r="R11" s="260" t="n">
        <v>28592.7</v>
      </c>
      <c r="S11" s="89">
        <f>SUM(R11/E11)</f>
        <v/>
      </c>
      <c r="T11" s="130" t="n">
        <v>36936.3</v>
      </c>
      <c r="U11" s="26" t="n"/>
    </row>
    <row r="12" ht="15.6" customHeight="1">
      <c r="A12" s="198" t="inlineStr">
        <is>
          <t>Stellenbosch</t>
        </is>
      </c>
      <c r="B12" s="200">
        <f>'18 - 24 Oct 2021'!E12</f>
        <v/>
      </c>
      <c r="C12" s="73" t="n">
        <v>142162.88</v>
      </c>
      <c r="D12" s="145" t="n">
        <v>102439.49</v>
      </c>
      <c r="E12" s="269" t="n">
        <v>136276.05</v>
      </c>
      <c r="F12" s="145" t="n">
        <v>525440.49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498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/>
      </c>
      <c r="O12" s="172">
        <f>IFERROR(N12/SUM(J12),0)</f>
        <v/>
      </c>
      <c r="P12" s="260" t="n">
        <v>19082.17</v>
      </c>
      <c r="Q12" s="89">
        <f>SUM(P12/E12)</f>
        <v/>
      </c>
      <c r="R12" s="260" t="n">
        <v>7116.35</v>
      </c>
      <c r="S12" s="89">
        <f>SUM(R12/E12)</f>
        <v/>
      </c>
      <c r="T12" s="130" t="n">
        <v>8001.7</v>
      </c>
      <c r="U12" s="26" t="n"/>
    </row>
    <row r="13" ht="15.6" customHeight="1">
      <c r="A13" s="198" t="inlineStr">
        <is>
          <t>Lynnwood</t>
        </is>
      </c>
      <c r="B13" s="200">
        <f>'18 - 24 Oct 2021'!E13</f>
        <v/>
      </c>
      <c r="C13" s="73" t="n">
        <v>153888.89</v>
      </c>
      <c r="D13" s="145" t="n">
        <v>195768.86</v>
      </c>
      <c r="E13" s="269" t="n">
        <v>193734.78</v>
      </c>
      <c r="F13" s="145" t="n">
        <v>874438.24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736</v>
      </c>
      <c r="K13" s="63">
        <f>IFERROR(E13/J13,0)</f>
        <v/>
      </c>
      <c r="L13" s="61" t="n">
        <v>64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/>
      </c>
      <c r="O13" s="172">
        <f>IFERROR(N13/SUM(J13),0)</f>
        <v/>
      </c>
      <c r="P13" s="260" t="n">
        <v>28695.87</v>
      </c>
      <c r="Q13" s="89">
        <f>SUM(P13/E13)</f>
        <v/>
      </c>
      <c r="R13" s="260" t="n">
        <v>27902.96</v>
      </c>
      <c r="S13" s="89">
        <f>SUM(R13/E13)</f>
        <v/>
      </c>
      <c r="T13" s="130" t="n">
        <v>5411.5</v>
      </c>
      <c r="U13" s="26" t="n"/>
    </row>
    <row r="14" hidden="1" ht="15.6" customHeight="1">
      <c r="A14" s="198" t="inlineStr">
        <is>
          <t>Wellington</t>
        </is>
      </c>
      <c r="B14" s="200">
        <f>'18 - 24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'18 - 24 Oct 2021'!E15</f>
        <v/>
      </c>
      <c r="C15" s="73" t="n">
        <v>161616.66</v>
      </c>
      <c r="D15" s="145" t="n">
        <v>256522.34</v>
      </c>
      <c r="E15" s="269" t="n">
        <v>176192.07</v>
      </c>
      <c r="F15" s="145" t="n">
        <v>930610.33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535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18207.83</v>
      </c>
      <c r="S15" s="89">
        <f>SUM(R15/E15)</f>
        <v/>
      </c>
      <c r="T15" s="130" t="n">
        <v>5021.1</v>
      </c>
      <c r="U15" s="9" t="n"/>
    </row>
    <row r="16" ht="15.6" customHeight="1">
      <c r="A16" s="198" t="inlineStr">
        <is>
          <t>Kyalami Corner</t>
        </is>
      </c>
      <c r="B16" s="200">
        <f>'18 - 24 Oct 2021'!E16</f>
        <v/>
      </c>
      <c r="C16" s="73" t="n">
        <v>119031.85</v>
      </c>
      <c r="D16" s="145" t="n">
        <v>123882.99</v>
      </c>
      <c r="E16" s="269" t="n">
        <v>155405.21</v>
      </c>
      <c r="F16" s="145" t="n">
        <v>683974.3100000001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626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/>
      </c>
      <c r="O16" s="172">
        <f>IFERROR(N16/SUM(J16),0)</f>
        <v/>
      </c>
      <c r="P16" s="260" t="n">
        <v>40719.5</v>
      </c>
      <c r="Q16" s="89">
        <f>SUM(P16/E16)</f>
        <v/>
      </c>
      <c r="R16" s="260" t="n">
        <v>31827</v>
      </c>
      <c r="S16" s="89">
        <f>SUM(R16/E16)</f>
        <v/>
      </c>
      <c r="T16" s="130" t="n">
        <v>6415.1</v>
      </c>
      <c r="U16" s="9" t="n"/>
      <c r="X16" s="238" t="n"/>
    </row>
    <row r="17" ht="15.6" customHeight="1">
      <c r="A17" s="198" t="inlineStr">
        <is>
          <t>Paulshof</t>
        </is>
      </c>
      <c r="B17" s="200">
        <f>'18 - 24 Oct 2021'!E17</f>
        <v/>
      </c>
      <c r="C17" s="73" t="n">
        <v>214868.45</v>
      </c>
      <c r="D17" s="145" t="n">
        <v>194764.01</v>
      </c>
      <c r="E17" s="269" t="n">
        <v>193364.19</v>
      </c>
      <c r="F17" s="145" t="n">
        <v>848051.5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43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/>
      </c>
      <c r="O17" s="172">
        <f>IFERROR(N17/SUM(J17),0)</f>
        <v/>
      </c>
      <c r="P17" s="260" t="n">
        <v>34247.68</v>
      </c>
      <c r="Q17" s="89">
        <f>SUM(P17/E17)</f>
        <v/>
      </c>
      <c r="R17" s="260" t="n">
        <v>28068.72</v>
      </c>
      <c r="S17" s="89">
        <f>SUM(R17/E17)</f>
        <v/>
      </c>
      <c r="T17" s="130" t="n">
        <v>4176</v>
      </c>
      <c r="U17" s="9" t="n"/>
    </row>
    <row r="18" ht="15.6" customHeight="1">
      <c r="A18" s="198" t="inlineStr">
        <is>
          <t>Queenswood</t>
        </is>
      </c>
      <c r="B18" s="200">
        <f>'18 - 24 Oct 2021'!E18</f>
        <v/>
      </c>
      <c r="C18" s="73" t="n">
        <v>185238.67</v>
      </c>
      <c r="D18" s="73" t="n">
        <v>163143.88</v>
      </c>
      <c r="E18" s="269" t="n">
        <v>182521.14</v>
      </c>
      <c r="F18" s="145" t="n">
        <v>735449.48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/>
      </c>
      <c r="O18" s="172">
        <f>IFERROR(N18/SUM(J18),0)</f>
        <v/>
      </c>
      <c r="P18" s="260" t="n">
        <v>28317.07</v>
      </c>
      <c r="Q18" s="89">
        <f>SUM(P18/E18)</f>
        <v/>
      </c>
      <c r="R18" s="260" t="n">
        <v>18843.24</v>
      </c>
      <c r="S18" s="89">
        <f>SUM(R18/E18)</f>
        <v/>
      </c>
      <c r="T18" s="130" t="n">
        <v>4228</v>
      </c>
      <c r="U18" s="9" t="n"/>
    </row>
    <row r="19" hidden="1" ht="16.2" customHeight="1" thickBot="1">
      <c r="A19" s="203" t="inlineStr">
        <is>
          <t>Centurion</t>
        </is>
      </c>
      <c r="B19" s="200">
        <f>'16 - 22 August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F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'25 - 31 Oct 2021'!E6</f>
        <v/>
      </c>
      <c r="C6" s="255" t="n">
        <v>228976.77</v>
      </c>
      <c r="D6" s="197" t="n">
        <v>189591.76</v>
      </c>
      <c r="E6" s="268" t="n">
        <v>220251.26</v>
      </c>
      <c r="F6" s="123" t="n">
        <v>220251.26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704</v>
      </c>
      <c r="K6" s="63">
        <f>IFERROR(E6/J6,0)</f>
        <v/>
      </c>
      <c r="L6" s="125" t="n">
        <v>28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/>
      </c>
      <c r="O6" s="171">
        <f>IFERROR(N6/SUM(J6),0)</f>
        <v/>
      </c>
      <c r="P6" s="259" t="n">
        <v>38284</v>
      </c>
      <c r="Q6" s="128">
        <f>SUM(P6/E6)</f>
        <v/>
      </c>
      <c r="R6" s="260" t="n">
        <v>14950.96</v>
      </c>
      <c r="S6" s="128">
        <f>SUM(R6/E6)</f>
        <v/>
      </c>
      <c r="T6" s="129" t="n">
        <v>10327</v>
      </c>
      <c r="U6" s="26" t="n"/>
    </row>
    <row r="7" ht="15.6" customHeight="1">
      <c r="A7" s="409" t="inlineStr">
        <is>
          <t>Melrose Arch</t>
        </is>
      </c>
      <c r="B7" s="200">
        <f>'25 - 31 Oct 2021'!E7</f>
        <v/>
      </c>
      <c r="C7" s="73" t="n">
        <v>203728.44</v>
      </c>
      <c r="D7" s="145" t="n">
        <v>153723.91</v>
      </c>
      <c r="E7" s="269" t="n">
        <v>208284.54</v>
      </c>
      <c r="F7" s="145" t="n">
        <v>208284.54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736</v>
      </c>
      <c r="K7" s="63">
        <f>IFERROR(E7/J7,0)</f>
        <v/>
      </c>
      <c r="L7" s="61" t="n">
        <v>52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/>
      </c>
      <c r="O7" s="172">
        <f>IFERROR(N7/SUM(J7),0)</f>
        <v/>
      </c>
      <c r="P7" s="260" t="n">
        <v>42261.7</v>
      </c>
      <c r="Q7" s="89">
        <f>SUM(P7/E7)</f>
        <v/>
      </c>
      <c r="R7" s="260" t="n">
        <v>19561.13</v>
      </c>
      <c r="S7" s="89">
        <f>SUM(R7/E7)</f>
        <v/>
      </c>
      <c r="T7" s="130" t="n">
        <v>6073.05</v>
      </c>
      <c r="U7" s="26" t="n"/>
    </row>
    <row r="8" ht="15.6" customHeight="1">
      <c r="A8" s="409" t="inlineStr">
        <is>
          <t>Melville</t>
        </is>
      </c>
      <c r="B8" s="200">
        <f>'25 - 31 Oct 2021'!E8</f>
        <v/>
      </c>
      <c r="C8" s="73" t="n">
        <v>108699.37</v>
      </c>
      <c r="D8" s="145" t="n">
        <v>101357.56</v>
      </c>
      <c r="E8" s="269" t="n">
        <v>132640.11</v>
      </c>
      <c r="F8" s="145" t="n">
        <v>132640.11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535</v>
      </c>
      <c r="K8" s="63">
        <f>IFERROR(E8/J8,0)</f>
        <v/>
      </c>
      <c r="L8" s="61" t="n">
        <v>17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/>
      </c>
      <c r="O8" s="172">
        <f>IFERROR(N8/SUM(J8),0)</f>
        <v/>
      </c>
      <c r="P8" s="260" t="n">
        <v>56266.87</v>
      </c>
      <c r="Q8" s="89">
        <f>SUM(P8/E8)</f>
        <v/>
      </c>
      <c r="R8" s="260" t="n">
        <v>15432.52</v>
      </c>
      <c r="S8" s="89">
        <f>SUM(R8/E8)</f>
        <v/>
      </c>
      <c r="T8" s="130" t="n">
        <v>4748.5</v>
      </c>
      <c r="U8" s="26" t="n"/>
    </row>
    <row r="9" ht="15.6" customHeight="1">
      <c r="A9" s="409" t="inlineStr">
        <is>
          <t>Rosebank</t>
        </is>
      </c>
      <c r="B9" s="200">
        <f>'25 - 31 Oct 2021'!E9</f>
        <v/>
      </c>
      <c r="C9" s="73" t="n">
        <v>318828.8</v>
      </c>
      <c r="D9" s="145" t="n">
        <v>224364.68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'25 - 31 Oct 2021'!E10</f>
        <v/>
      </c>
      <c r="C10" s="73" t="n">
        <v>132983.03</v>
      </c>
      <c r="D10" s="145" t="n">
        <v>122526.09</v>
      </c>
      <c r="E10" s="269" t="n">
        <v>147310.94</v>
      </c>
      <c r="F10" s="145" t="n">
        <v>147310.94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506</v>
      </c>
      <c r="K10" s="63">
        <f>IFERROR(E10/J10,0)</f>
        <v/>
      </c>
      <c r="L10" s="61" t="n">
        <v>37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/>
      </c>
      <c r="O10" s="172">
        <f>IFERROR(N10/SUM(J10),0)</f>
        <v/>
      </c>
      <c r="P10" s="260" t="n">
        <v>50538.81</v>
      </c>
      <c r="Q10" s="89">
        <f>SUM(P10/E10)</f>
        <v/>
      </c>
      <c r="R10" s="260" t="n">
        <v>11784.19</v>
      </c>
      <c r="S10" s="89">
        <f>SUM(R10/E10)</f>
        <v/>
      </c>
      <c r="T10" s="130" t="n">
        <v>1211</v>
      </c>
      <c r="U10" s="26" t="n"/>
    </row>
    <row r="11" ht="15.6" customHeight="1">
      <c r="A11" s="409" t="inlineStr">
        <is>
          <t>Eagles Landing</t>
        </is>
      </c>
      <c r="B11" s="200">
        <f>'25 - 31 Oct 2021'!E11</f>
        <v/>
      </c>
      <c r="C11" s="73" t="n">
        <v>308365.96</v>
      </c>
      <c r="D11" s="145" t="n">
        <v>268731.33</v>
      </c>
      <c r="E11" s="269" t="n">
        <v>243978.34</v>
      </c>
      <c r="F11" s="145" t="n">
        <v>243978.34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877</v>
      </c>
      <c r="K11" s="63">
        <f>IFERROR(E11/J11,0)</f>
        <v/>
      </c>
      <c r="L11" s="61" t="n">
        <v>49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/>
      </c>
      <c r="O11" s="172">
        <f>IFERROR(N11/SUM(J11),0)</f>
        <v/>
      </c>
      <c r="P11" s="260" t="n">
        <v>42046.54</v>
      </c>
      <c r="Q11" s="89">
        <f>SUM(P11/E11)</f>
        <v/>
      </c>
      <c r="R11" s="260" t="n">
        <v>24920.57</v>
      </c>
      <c r="S11" s="89">
        <f>SUM(R11/E11)</f>
        <v/>
      </c>
      <c r="T11" s="130" t="n">
        <v>10986.9</v>
      </c>
      <c r="U11" s="26" t="n"/>
    </row>
    <row r="12" ht="15.6" customHeight="1">
      <c r="A12" s="198" t="inlineStr">
        <is>
          <t>Stellenbosch</t>
        </is>
      </c>
      <c r="B12" s="200">
        <f>'25 - 31 Oct 2021'!E12</f>
        <v/>
      </c>
      <c r="C12" s="73" t="n">
        <v>146753.75</v>
      </c>
      <c r="D12" s="145" t="n">
        <v>106610.16</v>
      </c>
      <c r="E12" s="269" t="n">
        <v>118764.14</v>
      </c>
      <c r="F12" s="145" t="n">
        <v>118764.14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434</v>
      </c>
      <c r="K12" s="63">
        <f>IFERROR(E12/J12,0)</f>
        <v/>
      </c>
      <c r="L12" s="61" t="n">
        <v>28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/>
      </c>
      <c r="O12" s="172">
        <f>IFERROR(N12/SUM(J12),0)</f>
        <v/>
      </c>
      <c r="P12" s="260" t="n">
        <v>21387.22</v>
      </c>
      <c r="Q12" s="89">
        <f>SUM(P12/E12)</f>
        <v/>
      </c>
      <c r="R12" s="260" t="n">
        <v>8459.15</v>
      </c>
      <c r="S12" s="89">
        <f>SUM(R12/E12)</f>
        <v/>
      </c>
      <c r="T12" s="130" t="n">
        <v>8133.75</v>
      </c>
      <c r="U12" s="26" t="n"/>
    </row>
    <row r="13" ht="15.6" customHeight="1">
      <c r="A13" s="198" t="inlineStr">
        <is>
          <t>Lynnwood</t>
        </is>
      </c>
      <c r="B13" s="200">
        <f>'25 - 31 Oct 2021'!E13</f>
        <v/>
      </c>
      <c r="C13" s="73" t="n">
        <v>215493.07</v>
      </c>
      <c r="D13" s="145" t="n">
        <v>181854.77</v>
      </c>
      <c r="E13" s="269" t="n">
        <v>192441.7</v>
      </c>
      <c r="F13" s="145" t="n">
        <v>192441.7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50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/>
      </c>
      <c r="O13" s="172">
        <f>IFERROR(N13/SUM(J13),0)</f>
        <v/>
      </c>
      <c r="P13" s="260" t="n">
        <v>33195.09</v>
      </c>
      <c r="Q13" s="89">
        <f>SUM(P13/E13)</f>
        <v/>
      </c>
      <c r="R13" s="260" t="n">
        <v>24612.13</v>
      </c>
      <c r="S13" s="89">
        <f>SUM(R13/E13)</f>
        <v/>
      </c>
      <c r="T13" s="130" t="n">
        <v>5740.5</v>
      </c>
      <c r="U13" s="26" t="n"/>
    </row>
    <row r="14" hidden="1" ht="15.6" customHeight="1">
      <c r="A14" s="198" t="inlineStr">
        <is>
          <t>Wellington</t>
        </is>
      </c>
      <c r="B14" s="200">
        <f>'25 - 31 Oct 2021'!E14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'25 - 31 Oct 2021'!E15</f>
        <v/>
      </c>
      <c r="C15" s="73" t="n">
        <v>165767.19</v>
      </c>
      <c r="D15" s="145" t="n">
        <v>165659.22</v>
      </c>
      <c r="E15" s="269" t="n">
        <v>170291.99</v>
      </c>
      <c r="F15" s="145" t="n">
        <v>170291.99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542</v>
      </c>
      <c r="K15" s="63">
        <f>IFERROR(E15/J15,0)</f>
        <v/>
      </c>
      <c r="L15" s="61" t="n">
        <v>29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14979.48</v>
      </c>
      <c r="S15" s="89">
        <f>SUM(R15/E15)</f>
        <v/>
      </c>
      <c r="T15" s="130" t="n">
        <v>4206.3</v>
      </c>
      <c r="U15" s="9" t="n"/>
    </row>
    <row r="16" ht="15.6" customHeight="1">
      <c r="A16" s="198" t="inlineStr">
        <is>
          <t>Kyalami Corner</t>
        </is>
      </c>
      <c r="B16" s="200">
        <f>'25 - 31 Oct 2021'!E16</f>
        <v/>
      </c>
      <c r="C16" s="73" t="n">
        <v>122700.03</v>
      </c>
      <c r="D16" s="145" t="n">
        <v>117037.13</v>
      </c>
      <c r="E16" s="269" t="n">
        <v>138958.96</v>
      </c>
      <c r="F16" s="145" t="n">
        <v>138958.96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524</v>
      </c>
      <c r="K16" s="63">
        <f>IFERROR(E16/J16,0)</f>
        <v/>
      </c>
      <c r="L16" s="61" t="n">
        <v>15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/>
      </c>
      <c r="O16" s="172">
        <f>IFERROR(N16/SUM(J16),0)</f>
        <v/>
      </c>
      <c r="P16" s="260" t="n">
        <v>32589.48</v>
      </c>
      <c r="Q16" s="89">
        <f>SUM(P16/E16)</f>
        <v/>
      </c>
      <c r="R16" s="260" t="n">
        <v>23214.17</v>
      </c>
      <c r="S16" s="89">
        <f>SUM(R16/E16)</f>
        <v/>
      </c>
      <c r="T16" s="130" t="n">
        <v>3664.9</v>
      </c>
      <c r="U16" s="9" t="n"/>
      <c r="X16" s="238" t="n"/>
    </row>
    <row r="17" ht="15.6" customHeight="1">
      <c r="A17" s="198" t="inlineStr">
        <is>
          <t>Paulshof</t>
        </is>
      </c>
      <c r="B17" s="200">
        <f>'25 - 31 Oct 2021'!E17</f>
        <v/>
      </c>
      <c r="C17" s="73" t="n">
        <v>201597.1</v>
      </c>
      <c r="D17" s="145" t="n">
        <v>175289.7</v>
      </c>
      <c r="E17" s="269" t="n">
        <v>193925.84</v>
      </c>
      <c r="F17" s="145" t="n">
        <v>193925.84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743</v>
      </c>
      <c r="K17" s="63">
        <f>IFERROR(E17/J17,0)</f>
        <v/>
      </c>
      <c r="L17" s="61" t="n">
        <v>26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/>
      </c>
      <c r="O17" s="172">
        <f>IFERROR(N17/SUM(J17),0)</f>
        <v/>
      </c>
      <c r="P17" s="260" t="n">
        <v>26642.96</v>
      </c>
      <c r="Q17" s="89">
        <f>SUM(P17/E17)</f>
        <v/>
      </c>
      <c r="R17" s="260" t="n">
        <v>24448</v>
      </c>
      <c r="S17" s="89">
        <f>SUM(R17/E17)</f>
        <v/>
      </c>
      <c r="T17" s="130" t="n">
        <v>6183</v>
      </c>
      <c r="U17" s="9" t="n"/>
    </row>
    <row r="18" ht="15.6" customHeight="1">
      <c r="A18" s="198" t="inlineStr">
        <is>
          <t>Queenswood</t>
        </is>
      </c>
      <c r="B18" s="200">
        <f>'25 - 31 Oct 2021'!E18</f>
        <v/>
      </c>
      <c r="C18" s="73" t="n">
        <v>164475.3</v>
      </c>
      <c r="D18" s="73" t="n">
        <v>139604.47</v>
      </c>
      <c r="E18" s="269" t="n">
        <v>186189.33</v>
      </c>
      <c r="F18" s="145" t="n">
        <v>186189.33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134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/>
      </c>
      <c r="O18" s="172">
        <f>IFERROR(N18/SUM(J18),0)</f>
        <v/>
      </c>
      <c r="P18" s="260" t="n">
        <v>33505.96</v>
      </c>
      <c r="Q18" s="89">
        <f>SUM(P18/E18)</f>
        <v/>
      </c>
      <c r="R18" s="260" t="n">
        <v>13827.61</v>
      </c>
      <c r="S18" s="89">
        <f>SUM(R18/E18)</f>
        <v/>
      </c>
      <c r="T18" s="130" t="n">
        <v>3295.5</v>
      </c>
      <c r="U18" s="9" t="n"/>
    </row>
    <row r="19" hidden="1" ht="16.2" customHeight="1" thickBot="1">
      <c r="A19" s="203" t="inlineStr">
        <is>
          <t>Centurion</t>
        </is>
      </c>
      <c r="B19" s="200">
        <f>'25 - 31 Oct 2021'!E19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F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'1 - 7 Nov'!E6</f>
        <v/>
      </c>
      <c r="C6" s="255" t="n">
        <v>259568.58</v>
      </c>
      <c r="D6" s="197" t="n">
        <v>172666.76</v>
      </c>
      <c r="E6" s="268" t="n">
        <v>193086.26</v>
      </c>
      <c r="F6" s="123" t="n">
        <v>413337.52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636</v>
      </c>
      <c r="K6" s="63">
        <f>IFERROR(E6/J6,0)</f>
        <v/>
      </c>
      <c r="L6" s="125" t="n">
        <v>59</v>
      </c>
      <c r="M6" s="126">
        <f>IFERROR(L6/J6,0)</f>
        <v/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/>
      </c>
      <c r="O6" s="171">
        <f>IFERROR(N6/SUM(J6),0)</f>
        <v/>
      </c>
      <c r="P6" s="259" t="n">
        <v>43649.65</v>
      </c>
      <c r="Q6" s="128">
        <f>SUM(P6/E6)</f>
        <v/>
      </c>
      <c r="R6" s="260" t="n">
        <v>6744.35</v>
      </c>
      <c r="S6" s="128">
        <f>SUM(R6/E6)</f>
        <v/>
      </c>
      <c r="T6" s="129" t="n">
        <v>5536.95</v>
      </c>
      <c r="U6" s="26" t="n"/>
    </row>
    <row r="7" ht="15.6" customHeight="1">
      <c r="A7" s="409" t="inlineStr">
        <is>
          <t>Melrose Arch</t>
        </is>
      </c>
      <c r="B7" s="200">
        <f>'1 - 7 Nov'!E7</f>
        <v/>
      </c>
      <c r="C7" s="73" t="n">
        <v>209028.31</v>
      </c>
      <c r="D7" s="145" t="n">
        <v>183294.98</v>
      </c>
      <c r="E7" s="269" t="n">
        <v>245963.82</v>
      </c>
      <c r="F7" s="145" t="n">
        <v>454248.36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850</v>
      </c>
      <c r="K7" s="63">
        <f>IFERROR(E7/J7,0)</f>
        <v/>
      </c>
      <c r="L7" s="61" t="n">
        <v>55</v>
      </c>
      <c r="M7" s="28">
        <f>IFERROR(L7/J7,0)</f>
        <v/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/>
      </c>
      <c r="O7" s="172">
        <f>IFERROR(N7/SUM(J7),0)</f>
        <v/>
      </c>
      <c r="P7" s="260" t="n">
        <v>43822.87</v>
      </c>
      <c r="Q7" s="89">
        <f>SUM(P7/E7)</f>
        <v/>
      </c>
      <c r="R7" s="260" t="n">
        <v>21137.91</v>
      </c>
      <c r="S7" s="89">
        <f>SUM(R7/E7)</f>
        <v/>
      </c>
      <c r="T7" s="130" t="n">
        <v>9145.35</v>
      </c>
      <c r="U7" s="26" t="n"/>
    </row>
    <row r="8" ht="15.6" customHeight="1">
      <c r="A8" s="409" t="inlineStr">
        <is>
          <t>Melville</t>
        </is>
      </c>
      <c r="B8" s="200">
        <f>'1 - 7 Nov'!E8</f>
        <v/>
      </c>
      <c r="C8" s="73" t="n">
        <v>101423.55</v>
      </c>
      <c r="D8" s="145" t="n">
        <v>87639.38</v>
      </c>
      <c r="E8" s="269" t="n">
        <v>118190.42</v>
      </c>
      <c r="F8" s="145" t="n">
        <v>250830.53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472</v>
      </c>
      <c r="K8" s="63">
        <f>IFERROR(E8/J8,0)</f>
        <v/>
      </c>
      <c r="L8" s="61" t="n">
        <v>10</v>
      </c>
      <c r="M8" s="28">
        <f>IFERROR(L8/J8,0)</f>
        <v/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/>
      </c>
      <c r="O8" s="172">
        <f>IFERROR(N8/SUM(J8),0)</f>
        <v/>
      </c>
      <c r="P8" s="260" t="n">
        <v>47759.2</v>
      </c>
      <c r="Q8" s="89">
        <f>SUM(P8/E8)</f>
        <v/>
      </c>
      <c r="R8" s="260" t="n">
        <v>15366.7</v>
      </c>
      <c r="S8" s="89">
        <f>SUM(R8/E8)</f>
        <v/>
      </c>
      <c r="T8" s="130" t="n">
        <v>3645.5</v>
      </c>
      <c r="U8" s="26" t="n"/>
    </row>
    <row r="9" ht="15.6" customHeight="1">
      <c r="A9" s="409" t="inlineStr">
        <is>
          <t>Rosebank</t>
        </is>
      </c>
      <c r="B9" s="200">
        <f>'1 - 7 Nov'!E9</f>
        <v/>
      </c>
      <c r="C9" s="73" t="n">
        <v>300109.68</v>
      </c>
      <c r="D9" s="145" t="n">
        <v>192269.09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'1 - 7 Nov'!E10</f>
        <v/>
      </c>
      <c r="C10" s="73" t="n">
        <v>137768.23</v>
      </c>
      <c r="D10" s="145" t="n">
        <v>127707.36</v>
      </c>
      <c r="E10" s="269" t="n">
        <v>149959.23</v>
      </c>
      <c r="F10" s="145" t="n">
        <v>297270.17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524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/>
      </c>
      <c r="O10" s="172">
        <f>IFERROR(N10/SUM(J10),0)</f>
        <v/>
      </c>
      <c r="P10" s="260" t="n">
        <v>45506.52</v>
      </c>
      <c r="Q10" s="89">
        <f>SUM(P10/E10)</f>
        <v/>
      </c>
      <c r="R10" s="260" t="n">
        <v>10541.09</v>
      </c>
      <c r="S10" s="89">
        <f>SUM(R10/E10)</f>
        <v/>
      </c>
      <c r="T10" s="130" t="n">
        <v>3475.7</v>
      </c>
      <c r="U10" s="26" t="n"/>
    </row>
    <row r="11" ht="15.6" customHeight="1">
      <c r="A11" s="409" t="inlineStr">
        <is>
          <t>Eagles Landing</t>
        </is>
      </c>
      <c r="B11" s="200">
        <f>'1 - 7 Nov'!E11</f>
        <v/>
      </c>
      <c r="C11" s="73" t="n">
        <v>311032.46</v>
      </c>
      <c r="D11" s="145" t="n">
        <v>247480.1</v>
      </c>
      <c r="E11" s="269" t="n">
        <v>220256.34</v>
      </c>
      <c r="F11" s="145" t="n">
        <v>464234.68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815</v>
      </c>
      <c r="K11" s="63">
        <f>IFERROR(E11/J11,0)</f>
        <v/>
      </c>
      <c r="L11" s="61" t="n">
        <v>37</v>
      </c>
      <c r="M11" s="28">
        <f>IFERROR(L11/J11,0)</f>
        <v/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/>
      </c>
      <c r="O11" s="172">
        <f>IFERROR(N11/SUM(J11),0)</f>
        <v/>
      </c>
      <c r="P11" s="260" t="n">
        <v>48446.74</v>
      </c>
      <c r="Q11" s="89">
        <f>SUM(P11/E11)</f>
        <v/>
      </c>
      <c r="R11" s="260" t="n">
        <v>26203.09</v>
      </c>
      <c r="S11" s="89">
        <f>SUM(R11/E11)</f>
        <v/>
      </c>
      <c r="T11" s="130" t="n">
        <v>9519.6</v>
      </c>
      <c r="U11" s="26" t="n"/>
    </row>
    <row r="12" ht="15.6" customHeight="1">
      <c r="A12" s="198" t="inlineStr">
        <is>
          <t>Stellenbosch</t>
        </is>
      </c>
      <c r="B12" s="200">
        <f>'1 - 7 Nov'!E12</f>
        <v/>
      </c>
      <c r="C12" s="73" t="n">
        <v>143951.47</v>
      </c>
      <c r="D12" s="145" t="n">
        <v>104099.76</v>
      </c>
      <c r="E12" s="269" t="n">
        <v>117466.88</v>
      </c>
      <c r="F12" s="145" t="n">
        <v>236231.02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451</v>
      </c>
      <c r="K12" s="63">
        <f>IFERROR(E12/J12,0)</f>
        <v/>
      </c>
      <c r="L12" s="61" t="n">
        <v>42</v>
      </c>
      <c r="M12" s="28">
        <f>IFERROR(L12/J12,0)</f>
        <v/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/>
      </c>
      <c r="O12" s="172">
        <f>IFERROR(N12/SUM(J12),0)</f>
        <v/>
      </c>
      <c r="P12" s="260" t="n">
        <v>20942.96</v>
      </c>
      <c r="Q12" s="89">
        <f>SUM(P12/E12)</f>
        <v/>
      </c>
      <c r="R12" s="260" t="n">
        <v>7211.09</v>
      </c>
      <c r="S12" s="89">
        <f>SUM(R12/E12)</f>
        <v/>
      </c>
      <c r="T12" s="130" t="n">
        <v>8016.25</v>
      </c>
      <c r="U12" s="26" t="n"/>
    </row>
    <row r="13" ht="15.6" customHeight="1">
      <c r="A13" s="198" t="inlineStr">
        <is>
          <t>Lynnwood</t>
        </is>
      </c>
      <c r="B13" s="200">
        <f>'1 - 7 Nov'!E13</f>
        <v/>
      </c>
      <c r="C13" s="73" t="n">
        <v>202568.82</v>
      </c>
      <c r="D13" s="145" t="n">
        <v>171163.5</v>
      </c>
      <c r="E13" s="269" t="n">
        <v>194468.69</v>
      </c>
      <c r="F13" s="145" t="n">
        <v>386910.39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711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/>
      </c>
      <c r="O13" s="172">
        <f>IFERROR(N13/SUM(J13),0)</f>
        <v/>
      </c>
      <c r="P13" s="260" t="n">
        <v>31931</v>
      </c>
      <c r="Q13" s="89">
        <f>SUM(P13/E13)</f>
        <v/>
      </c>
      <c r="R13" s="260" t="n">
        <v>26436.04</v>
      </c>
      <c r="S13" s="89">
        <f>SUM(R13/E13)</f>
        <v/>
      </c>
      <c r="T13" s="130" t="n">
        <v>7997.5</v>
      </c>
      <c r="U13" s="26" t="n"/>
    </row>
    <row r="14" hidden="1" ht="15.6" customHeight="1">
      <c r="A14" s="198" t="inlineStr">
        <is>
          <t>Wellington</t>
        </is>
      </c>
      <c r="B14" s="200">
        <f>'1 - 7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'1 - 7 Nov'!E15</f>
        <v/>
      </c>
      <c r="C15" s="73" t="n">
        <v>187730.76</v>
      </c>
      <c r="D15" s="145" t="n">
        <v>159466.45</v>
      </c>
      <c r="E15" s="269" t="n">
        <v>182462.52</v>
      </c>
      <c r="F15" s="145" t="n">
        <v>352754.51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571</v>
      </c>
      <c r="K15" s="63">
        <f>IFERROR(E15/J15,0)</f>
        <v/>
      </c>
      <c r="L15" s="61" t="n">
        <v>37</v>
      </c>
      <c r="M15" s="28">
        <f>IFERROR(L15/J15,0)</f>
        <v/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19122.17</v>
      </c>
      <c r="S15" s="89">
        <f>SUM(R15/E15)</f>
        <v/>
      </c>
      <c r="T15" s="130" t="n">
        <v>2015</v>
      </c>
      <c r="U15" s="9" t="n"/>
    </row>
    <row r="16" ht="15.6" customHeight="1">
      <c r="A16" s="198" t="inlineStr">
        <is>
          <t>Kyalami Corner</t>
        </is>
      </c>
      <c r="B16" s="200">
        <f>'1 - 7 Nov'!E16</f>
        <v/>
      </c>
      <c r="C16" s="73" t="n">
        <v>117265.6</v>
      </c>
      <c r="D16" s="145" t="n">
        <v>98894.32000000001</v>
      </c>
      <c r="E16" s="269" t="n">
        <v>144976.69</v>
      </c>
      <c r="F16" s="145" t="n">
        <v>283935.65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500</v>
      </c>
      <c r="K16" s="63">
        <f>IFERROR(E16/J16,0)</f>
        <v/>
      </c>
      <c r="L16" s="61" t="n">
        <v>18</v>
      </c>
      <c r="M16" s="28">
        <f>IFERROR(L16/J16,0)</f>
        <v/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/>
      </c>
      <c r="O16" s="172">
        <f>IFERROR(N16/SUM(J16),0)</f>
        <v/>
      </c>
      <c r="P16" s="260" t="n">
        <v>29042.48</v>
      </c>
      <c r="Q16" s="89">
        <f>SUM(P16/E16)</f>
        <v/>
      </c>
      <c r="R16" s="260" t="n">
        <v>25073.29</v>
      </c>
      <c r="S16" s="89">
        <f>SUM(R16/E16)</f>
        <v/>
      </c>
      <c r="T16" s="130" t="n">
        <v>6230</v>
      </c>
      <c r="U16" s="9" t="n"/>
      <c r="X16" s="238" t="n"/>
    </row>
    <row r="17" ht="15.6" customHeight="1">
      <c r="A17" s="198" t="inlineStr">
        <is>
          <t>Paulshof</t>
        </is>
      </c>
      <c r="B17" s="200">
        <f>'1 - 7 Nov'!E17</f>
        <v/>
      </c>
      <c r="C17" s="73" t="n">
        <v>210361.95</v>
      </c>
      <c r="D17" s="145" t="n">
        <v>162874.76</v>
      </c>
      <c r="E17" s="269" t="n">
        <v>195032.18</v>
      </c>
      <c r="F17" s="145" t="n">
        <v>388958.02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704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/>
      </c>
      <c r="O17" s="172">
        <f>IFERROR(N17/SUM(J17),0)</f>
        <v/>
      </c>
      <c r="P17" s="260" t="n">
        <v>32287.61</v>
      </c>
      <c r="Q17" s="89">
        <f>SUM(P17/E17)</f>
        <v/>
      </c>
      <c r="R17" s="260" t="n">
        <v>21323.72</v>
      </c>
      <c r="S17" s="89">
        <f>SUM(R17/E17)</f>
        <v/>
      </c>
      <c r="T17" s="130" t="n">
        <v>6550.7</v>
      </c>
      <c r="U17" s="9" t="n"/>
    </row>
    <row r="18" ht="15.6" customHeight="1">
      <c r="A18" s="198" t="inlineStr">
        <is>
          <t>Queenswood</t>
        </is>
      </c>
      <c r="B18" s="200">
        <f>'1 - 7 Nov'!E18</f>
        <v/>
      </c>
      <c r="C18" s="73" t="n">
        <v>165084.29</v>
      </c>
      <c r="D18" s="73" t="n">
        <v>136607.85</v>
      </c>
      <c r="E18" s="269" t="n">
        <v>164901.42</v>
      </c>
      <c r="F18" s="145" t="n">
        <v>351090.75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604</v>
      </c>
      <c r="K18" s="63">
        <f>IFERROR(E18/J18,0)</f>
        <v/>
      </c>
      <c r="L18" s="61" t="n">
        <v>88</v>
      </c>
      <c r="M18" s="28">
        <f>IFERROR(L18/J18,0)</f>
        <v/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/>
      </c>
      <c r="O18" s="172">
        <f>IFERROR(N18/SUM(J18),0)</f>
        <v/>
      </c>
      <c r="P18" s="260" t="n">
        <v>26666.24</v>
      </c>
      <c r="Q18" s="89">
        <f>SUM(P18/E18)</f>
        <v/>
      </c>
      <c r="R18" s="260" t="n">
        <v>14985.72</v>
      </c>
      <c r="S18" s="89">
        <f>SUM(R18/E18)</f>
        <v/>
      </c>
      <c r="T18" s="130" t="n">
        <v>3174.5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6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'8 - 14 Nov'!E6</f>
        <v/>
      </c>
      <c r="C6" s="255" t="n">
        <v>249420.07</v>
      </c>
      <c r="D6" s="197" t="n">
        <v>161283.62</v>
      </c>
      <c r="E6" s="268" t="n">
        <v>212158.9</v>
      </c>
      <c r="F6" s="123" t="n">
        <v>625496.42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656</v>
      </c>
      <c r="K6" s="63">
        <f>IFERROR(E6/J6,0)</f>
        <v/>
      </c>
      <c r="L6" s="125" t="n">
        <v>46</v>
      </c>
      <c r="M6" s="126">
        <f>IFERROR(L6/J6,0)</f>
        <v/>
      </c>
      <c r="N6" s="46">
        <f>L6</f>
        <v/>
      </c>
      <c r="O6" s="171">
        <f>IFERROR(N6/SUM(J6),0)</f>
        <v/>
      </c>
      <c r="P6" s="259" t="n">
        <v>38743.74</v>
      </c>
      <c r="Q6" s="128">
        <f>SUM(P6/E6)</f>
        <v/>
      </c>
      <c r="R6" s="260" t="n">
        <v>9314</v>
      </c>
      <c r="S6" s="128">
        <f>SUM(R6/E6)</f>
        <v/>
      </c>
      <c r="T6" s="129" t="n">
        <v>6537.45</v>
      </c>
      <c r="U6" s="26" t="n"/>
    </row>
    <row r="7" ht="15.6" customHeight="1">
      <c r="A7" s="409" t="inlineStr">
        <is>
          <t>Melrose Arch</t>
        </is>
      </c>
      <c r="B7" s="200">
        <f>'8 - 14 Nov'!E7</f>
        <v/>
      </c>
      <c r="C7" s="73" t="n">
        <v>277083.59</v>
      </c>
      <c r="D7" s="145" t="n">
        <v>178938.56</v>
      </c>
      <c r="E7" s="269" t="n">
        <v>243787.69</v>
      </c>
      <c r="F7" s="145" t="n">
        <v>698036.05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815</v>
      </c>
      <c r="K7" s="63">
        <f>IFERROR(E7/J7,0)</f>
        <v/>
      </c>
      <c r="L7" s="61" t="n">
        <v>68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44941.52</v>
      </c>
      <c r="Q7" s="89">
        <f>SUM(P7/E7)</f>
        <v/>
      </c>
      <c r="R7" s="260" t="n">
        <v>20818.39</v>
      </c>
      <c r="S7" s="89">
        <f>SUM(R7/E7)</f>
        <v/>
      </c>
      <c r="T7" s="130" t="n">
        <v>8058.2</v>
      </c>
      <c r="U7" s="26" t="n"/>
    </row>
    <row r="8" ht="15.6" customHeight="1">
      <c r="A8" s="409" t="inlineStr">
        <is>
          <t>Melville</t>
        </is>
      </c>
      <c r="B8" s="200">
        <f>'8 - 14 Nov'!E8</f>
        <v/>
      </c>
      <c r="C8" s="73" t="n">
        <v>126423.17</v>
      </c>
      <c r="D8" s="145" t="n">
        <v>102953.87</v>
      </c>
      <c r="E8" s="269" t="n">
        <v>125078.1</v>
      </c>
      <c r="F8" s="145" t="n">
        <v>375908.63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514</v>
      </c>
      <c r="K8" s="63">
        <f>IFERROR(E8/J8,0)</f>
        <v/>
      </c>
      <c r="L8" s="61" t="n">
        <v>32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51272.52</v>
      </c>
      <c r="Q8" s="89">
        <f>SUM(P8/E8)</f>
        <v/>
      </c>
      <c r="R8" s="260" t="n">
        <v>14654.83</v>
      </c>
      <c r="S8" s="89">
        <f>SUM(R8/E8)</f>
        <v/>
      </c>
      <c r="T8" s="130" t="n">
        <v>3079.7</v>
      </c>
      <c r="U8" s="26" t="n"/>
    </row>
    <row r="9" ht="15.6" customHeight="1">
      <c r="A9" s="409" t="inlineStr">
        <is>
          <t>Rosebank</t>
        </is>
      </c>
      <c r="B9" s="200">
        <f>'8 - 14 Nov'!E9</f>
        <v/>
      </c>
      <c r="C9" s="73" t="n">
        <v>334792.28</v>
      </c>
      <c r="D9" s="145" t="n">
        <v>211104.3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'8 - 14 Nov'!E10</f>
        <v/>
      </c>
      <c r="C10" s="73" t="n">
        <v>151772.77</v>
      </c>
      <c r="D10" s="145" t="n">
        <v>132187.5</v>
      </c>
      <c r="E10" s="269" t="n">
        <v>155534.25</v>
      </c>
      <c r="F10" s="145" t="n">
        <v>452804.42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539</v>
      </c>
      <c r="K10" s="63">
        <f>IFERROR(E10/J10,0)</f>
        <v/>
      </c>
      <c r="L10" s="61" t="n">
        <v>52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50198.48</v>
      </c>
      <c r="Q10" s="89">
        <f>SUM(P10/E10)</f>
        <v/>
      </c>
      <c r="R10" s="260" t="n">
        <v>14527</v>
      </c>
      <c r="S10" s="89">
        <f>SUM(R10/E10)</f>
        <v/>
      </c>
      <c r="T10" s="130" t="n">
        <v>2742.2</v>
      </c>
      <c r="U10" s="26" t="n"/>
    </row>
    <row r="11" ht="15.6" customHeight="1">
      <c r="A11" s="409" t="inlineStr">
        <is>
          <t>Eagles Landing</t>
        </is>
      </c>
      <c r="B11" s="200">
        <f>'8 - 14 Nov'!E11</f>
        <v/>
      </c>
      <c r="C11" s="73" t="n">
        <v>372731.86</v>
      </c>
      <c r="D11" s="145" t="n">
        <v>240795.46</v>
      </c>
      <c r="E11" s="269" t="n">
        <v>235541.57</v>
      </c>
      <c r="F11" s="145" t="n">
        <v>699776.25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822</v>
      </c>
      <c r="K11" s="63">
        <f>IFERROR(E11/J11,0)</f>
        <v/>
      </c>
      <c r="L11" s="61" t="n">
        <v>159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46956.61</v>
      </c>
      <c r="Q11" s="89">
        <f>SUM(P11/E11)</f>
        <v/>
      </c>
      <c r="R11" s="260" t="n">
        <v>19413.87</v>
      </c>
      <c r="S11" s="89">
        <f>SUM(R11/E11)</f>
        <v/>
      </c>
      <c r="T11" s="130" t="n">
        <v>10942.7</v>
      </c>
      <c r="U11" s="26" t="n"/>
    </row>
    <row r="12" ht="15.6" customHeight="1">
      <c r="A12" s="198" t="inlineStr">
        <is>
          <t>Stellenbosch</t>
        </is>
      </c>
      <c r="B12" s="200">
        <f>'8 - 14 Nov'!E12</f>
        <v/>
      </c>
      <c r="C12" s="73" t="n">
        <v>143504.96</v>
      </c>
      <c r="D12" s="145" t="n">
        <v>91468.42999999999</v>
      </c>
      <c r="E12" s="269" t="n">
        <v>113656.36</v>
      </c>
      <c r="F12" s="145" t="n">
        <v>349887.38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426</v>
      </c>
      <c r="K12" s="63">
        <f>IFERROR(E12/J12,0)</f>
        <v/>
      </c>
      <c r="L12" s="61" t="n">
        <v>44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20732.39</v>
      </c>
      <c r="Q12" s="89">
        <f>SUM(P12/E12)</f>
        <v/>
      </c>
      <c r="R12" s="260" t="n">
        <v>11834.19</v>
      </c>
      <c r="S12" s="89">
        <f>SUM(R12/E12)</f>
        <v/>
      </c>
      <c r="T12" s="130" t="n">
        <v>6849.5</v>
      </c>
      <c r="U12" s="26" t="n"/>
    </row>
    <row r="13" ht="15.6" customHeight="1">
      <c r="A13" s="198" t="inlineStr">
        <is>
          <t>Lynnwood</t>
        </is>
      </c>
      <c r="B13" s="200">
        <f>'8 - 14 Nov'!E13</f>
        <v/>
      </c>
      <c r="C13" s="73" t="n">
        <v>218108.55</v>
      </c>
      <c r="D13" s="145" t="n">
        <v>166631.94</v>
      </c>
      <c r="E13" s="269" t="n">
        <v>191383.89</v>
      </c>
      <c r="F13" s="145" t="n">
        <v>578294.28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725</v>
      </c>
      <c r="K13" s="63">
        <f>IFERROR(E13/J13,0)</f>
        <v/>
      </c>
      <c r="L13" s="61" t="n">
        <v>80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36494.04</v>
      </c>
      <c r="Q13" s="89">
        <f>SUM(P13/E13)</f>
        <v/>
      </c>
      <c r="R13" s="260" t="n">
        <v>24619.26</v>
      </c>
      <c r="S13" s="89">
        <f>SUM(R13/E13)</f>
        <v/>
      </c>
      <c r="T13" s="130" t="n">
        <v>4943.5</v>
      </c>
      <c r="U13" s="26" t="n"/>
    </row>
    <row r="14" hidden="1" ht="15.6" customHeight="1">
      <c r="A14" s="198" t="inlineStr">
        <is>
          <t>Wellington</t>
        </is>
      </c>
      <c r="B14" s="200">
        <f>'8 - 14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'8 - 14 Nov'!E15</f>
        <v/>
      </c>
      <c r="C15" s="73" t="n">
        <v>203493.11</v>
      </c>
      <c r="D15" s="145" t="n">
        <v>157494.72</v>
      </c>
      <c r="E15" s="269" t="n">
        <v>183104.61</v>
      </c>
      <c r="F15" s="145" t="n">
        <v>535859.12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564</v>
      </c>
      <c r="K15" s="63">
        <f>IFERROR(E15/J15,0)</f>
        <v/>
      </c>
      <c r="L15" s="61" t="n">
        <v>71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18184.78</v>
      </c>
      <c r="S15" s="89">
        <f>SUM(R15/E15)</f>
        <v/>
      </c>
      <c r="T15" s="130" t="n">
        <v>2394.5</v>
      </c>
      <c r="U15" s="9" t="n"/>
    </row>
    <row r="16" ht="15.6" customHeight="1">
      <c r="A16" s="198" t="inlineStr">
        <is>
          <t>Kyalami Corner</t>
        </is>
      </c>
      <c r="B16" s="200">
        <f>'8 - 14 Nov'!E16</f>
        <v/>
      </c>
      <c r="C16" s="73" t="n">
        <v>130233.66</v>
      </c>
      <c r="D16" s="145" t="n">
        <v>96347.74000000001</v>
      </c>
      <c r="E16" s="269" t="n">
        <v>128705.38</v>
      </c>
      <c r="F16" s="145" t="n">
        <v>412641.03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461</v>
      </c>
      <c r="K16" s="63">
        <f>IFERROR(E16/J16,0)</f>
        <v/>
      </c>
      <c r="L16" s="61" t="n">
        <v>40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29358.96</v>
      </c>
      <c r="Q16" s="89">
        <f>SUM(P16/E16)</f>
        <v/>
      </c>
      <c r="R16" s="260" t="n">
        <v>26636.13</v>
      </c>
      <c r="S16" s="89">
        <f>SUM(R16/E16)</f>
        <v/>
      </c>
      <c r="T16" s="130" t="n">
        <v>4349.3</v>
      </c>
      <c r="U16" s="9" t="n"/>
      <c r="X16" s="238" t="n"/>
    </row>
    <row r="17" ht="15.6" customHeight="1">
      <c r="A17" s="198" t="inlineStr">
        <is>
          <t>Paulshof</t>
        </is>
      </c>
      <c r="B17" s="200">
        <f>'8 - 14 Nov'!E17</f>
        <v/>
      </c>
      <c r="C17" s="73" t="n">
        <v>214348.71</v>
      </c>
      <c r="D17" s="145" t="n">
        <v>144792.58</v>
      </c>
      <c r="E17" s="269" t="n">
        <v>199114.42</v>
      </c>
      <c r="F17" s="145" t="n">
        <v>588072.4399999999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685</v>
      </c>
      <c r="K17" s="63">
        <f>IFERROR(E17/J17,0)</f>
        <v/>
      </c>
      <c r="L17" s="61" t="n">
        <v>55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30411</v>
      </c>
      <c r="Q17" s="89">
        <f>SUM(P17/E17)</f>
        <v/>
      </c>
      <c r="R17" s="260" t="n">
        <v>27266.9</v>
      </c>
      <c r="S17" s="89">
        <f>SUM(R17/E17)</f>
        <v/>
      </c>
      <c r="T17" s="130" t="n">
        <v>4613</v>
      </c>
      <c r="U17" s="9" t="n"/>
    </row>
    <row r="18" ht="15.6" customHeight="1">
      <c r="A18" s="198" t="inlineStr">
        <is>
          <t>Queenswood</t>
        </is>
      </c>
      <c r="B18" s="200">
        <f>'8 - 14 Nov'!E18</f>
        <v/>
      </c>
      <c r="C18" s="73" t="n">
        <v>167548.27</v>
      </c>
      <c r="D18" s="73" t="n">
        <v>127656.79</v>
      </c>
      <c r="E18" s="269" t="n">
        <v>152715.91</v>
      </c>
      <c r="F18" s="145" t="n">
        <v>503806.66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606</v>
      </c>
      <c r="K18" s="63">
        <f>IFERROR(E18/J18,0)</f>
        <v/>
      </c>
      <c r="L18" s="61" t="n">
        <v>101</v>
      </c>
      <c r="M18" s="28">
        <f>IFERROR(L18/J18,0)</f>
        <v/>
      </c>
      <c r="N18" s="46">
        <f>L18</f>
        <v/>
      </c>
      <c r="O18" s="172">
        <f>IFERROR(N18/SUM(J18),0)</f>
        <v/>
      </c>
      <c r="P18" s="260" t="n">
        <v>29412.7</v>
      </c>
      <c r="Q18" s="89">
        <f>SUM(P18/E18)</f>
        <v/>
      </c>
      <c r="R18" s="260" t="n">
        <v>15989.78</v>
      </c>
      <c r="S18" s="89">
        <f>SUM(R18/E18)</f>
        <v/>
      </c>
      <c r="T18" s="130" t="n">
        <v>3159.5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'15 - 21 Nov'!E6</f>
        <v/>
      </c>
      <c r="C6" s="255" t="n">
        <v>296557.98</v>
      </c>
      <c r="D6" s="197" t="n">
        <v>213583.61</v>
      </c>
      <c r="E6" s="268" t="n">
        <v>224536.32</v>
      </c>
      <c r="F6" s="123" t="n">
        <v>850032.74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51</v>
      </c>
      <c r="M6" s="126">
        <f>IFERROR(L6/J6,0)</f>
        <v/>
      </c>
      <c r="N6" s="46">
        <f>L6+'15 - 21 Nov'!L6</f>
        <v/>
      </c>
      <c r="O6" s="171">
        <f>IFERROR(N6/SUM(J6),0)</f>
        <v/>
      </c>
      <c r="P6" s="259" t="n">
        <v>44147.52</v>
      </c>
      <c r="Q6" s="128">
        <f>SUM(P6/E6)</f>
        <v/>
      </c>
      <c r="R6" s="260" t="n">
        <v>9382.629999999999</v>
      </c>
      <c r="S6" s="128">
        <f>SUM(R6/E6)</f>
        <v/>
      </c>
      <c r="T6" s="129" t="n">
        <v>5493.15</v>
      </c>
      <c r="U6" s="26" t="n"/>
    </row>
    <row r="7" ht="15.6" customHeight="1">
      <c r="A7" s="409" t="inlineStr">
        <is>
          <t>Melrose Arch</t>
        </is>
      </c>
      <c r="B7" s="200">
        <f>'15 - 21 Nov'!E7</f>
        <v/>
      </c>
      <c r="C7" s="73" t="n">
        <v>384641.91</v>
      </c>
      <c r="D7" s="145" t="n">
        <v>249670.73</v>
      </c>
      <c r="E7" s="269" t="n">
        <v>275338.65</v>
      </c>
      <c r="F7" s="145" t="n">
        <v>973374.7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839</v>
      </c>
      <c r="K7" s="63">
        <f>IFERROR(E7/J7,0)</f>
        <v/>
      </c>
      <c r="L7" s="61" t="n">
        <v>73</v>
      </c>
      <c r="M7" s="28">
        <f>IFERROR(L7/J7,0)</f>
        <v/>
      </c>
      <c r="N7" s="46">
        <f>L7+'15 - 21 Nov'!L7</f>
        <v/>
      </c>
      <c r="O7" s="172">
        <f>IFERROR(N7/SUM(J7),0)</f>
        <v/>
      </c>
      <c r="P7" s="260" t="n">
        <v>36863.38</v>
      </c>
      <c r="Q7" s="89">
        <f>SUM(P7/E7)</f>
        <v/>
      </c>
      <c r="R7" s="260" t="n">
        <v>18940.87</v>
      </c>
      <c r="S7" s="89">
        <f>SUM(R7/E7)</f>
        <v/>
      </c>
      <c r="T7" s="130" t="n">
        <v>10418.15</v>
      </c>
      <c r="U7" s="26" t="n"/>
    </row>
    <row r="8" ht="15.6" customHeight="1">
      <c r="A8" s="409" t="inlineStr">
        <is>
          <t>Melville</t>
        </is>
      </c>
      <c r="B8" s="200">
        <f>'15 - 21 Nov'!E8</f>
        <v/>
      </c>
      <c r="C8" s="73" t="n">
        <v>127269.54</v>
      </c>
      <c r="D8" s="145" t="n">
        <v>119566.77</v>
      </c>
      <c r="E8" s="269" t="n">
        <v>122785.28</v>
      </c>
      <c r="F8" s="145" t="n">
        <v>498693.91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497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</f>
        <v/>
      </c>
      <c r="O8" s="172">
        <f>IFERROR(N8/SUM(J8),0)</f>
        <v/>
      </c>
      <c r="P8" s="260" t="n">
        <v>50691.04</v>
      </c>
      <c r="Q8" s="89">
        <f>SUM(P8/E8)</f>
        <v/>
      </c>
      <c r="R8" s="260" t="n">
        <v>15663</v>
      </c>
      <c r="S8" s="89">
        <f>SUM(R8/E8)</f>
        <v/>
      </c>
      <c r="T8" s="130" t="n">
        <v>2135.25</v>
      </c>
      <c r="U8" s="26" t="n"/>
    </row>
    <row r="9" ht="15.6" customHeight="1">
      <c r="A9" s="409" t="inlineStr">
        <is>
          <t>Rosebank</t>
        </is>
      </c>
      <c r="B9" s="200">
        <f>'15 - 21 Nov'!E9</f>
        <v/>
      </c>
      <c r="C9" s="73" t="n">
        <v>344599.74</v>
      </c>
      <c r="D9" s="145" t="n">
        <v>284837.61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'15 - 21 Nov'!E10</f>
        <v/>
      </c>
      <c r="C10" s="73" t="n">
        <v>191019.57</v>
      </c>
      <c r="D10" s="145" t="n">
        <v>148998.25</v>
      </c>
      <c r="E10" s="269" t="n">
        <v>167295.86</v>
      </c>
      <c r="F10" s="145" t="n">
        <v>620100.28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590</v>
      </c>
      <c r="K10" s="63">
        <f>IFERROR(E10/J10,0)</f>
        <v/>
      </c>
      <c r="L10" s="61" t="n">
        <v>49</v>
      </c>
      <c r="M10" s="28">
        <f>IFERROR(L10/J10,0)</f>
        <v/>
      </c>
      <c r="N10" s="46">
        <f>L10+'15 - 21 Nov'!L10</f>
        <v/>
      </c>
      <c r="O10" s="172">
        <f>IFERROR(N10/SUM(J10),0)</f>
        <v/>
      </c>
      <c r="P10" s="260" t="n">
        <v>65687.17</v>
      </c>
      <c r="Q10" s="89">
        <f>SUM(P10/E10)</f>
        <v/>
      </c>
      <c r="R10" s="260" t="n">
        <v>110640.65</v>
      </c>
      <c r="S10" s="89">
        <f>SUM(R10/E10)</f>
        <v/>
      </c>
      <c r="T10" s="130" t="n">
        <v>6456.8</v>
      </c>
      <c r="U10" s="26" t="n"/>
    </row>
    <row r="11" ht="15.6" customHeight="1">
      <c r="A11" s="409" t="inlineStr">
        <is>
          <t>Eagles Landing</t>
        </is>
      </c>
      <c r="B11" s="200">
        <f>'15 - 21 Nov'!E11</f>
        <v/>
      </c>
      <c r="C11" s="73" t="n">
        <v>383307.6</v>
      </c>
      <c r="D11" s="145" t="n">
        <v>263055.05</v>
      </c>
      <c r="E11" s="269" t="n">
        <v>249927.98</v>
      </c>
      <c r="F11" s="145" t="n">
        <v>949704.23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</f>
        <v/>
      </c>
      <c r="O11" s="172">
        <f>IFERROR(N11/SUM(J11),0)</f>
        <v/>
      </c>
      <c r="P11" s="260" t="n">
        <v>40829.23</v>
      </c>
      <c r="Q11" s="89">
        <f>SUM(P11/E11)</f>
        <v/>
      </c>
      <c r="R11" s="260" t="n">
        <v>28783.74</v>
      </c>
      <c r="S11" s="89">
        <f>SUM(R11/E11)</f>
        <v/>
      </c>
      <c r="T11" s="130" t="n">
        <v>9352</v>
      </c>
      <c r="U11" s="26" t="n"/>
    </row>
    <row r="12" ht="15.6" customHeight="1">
      <c r="A12" s="198" t="inlineStr">
        <is>
          <t>Stellenbosch</t>
        </is>
      </c>
      <c r="B12" s="200">
        <f>'15 - 21 Nov'!E12</f>
        <v/>
      </c>
      <c r="C12" s="73" t="n">
        <v>162809.36</v>
      </c>
      <c r="D12" s="145" t="n">
        <v>124554.72</v>
      </c>
      <c r="E12" s="269" t="n">
        <v>131103.3</v>
      </c>
      <c r="F12" s="145" t="n">
        <v>480990.68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453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</f>
        <v/>
      </c>
      <c r="O12" s="172">
        <f>IFERROR(N12/SUM(J12),0)</f>
        <v/>
      </c>
      <c r="P12" s="260" t="n">
        <v>24298.09</v>
      </c>
      <c r="Q12" s="89">
        <f>SUM(P12/E12)</f>
        <v/>
      </c>
      <c r="R12" s="260" t="n">
        <v>10235.48</v>
      </c>
      <c r="S12" s="89">
        <f>SUM(R12/E12)</f>
        <v/>
      </c>
      <c r="T12" s="130" t="n">
        <v>8474.5</v>
      </c>
      <c r="U12" s="26" t="n"/>
    </row>
    <row r="13" ht="15.6" customHeight="1">
      <c r="A13" s="198" t="inlineStr">
        <is>
          <t>Lynnwood</t>
        </is>
      </c>
      <c r="B13" s="200">
        <f>'15 - 21 Nov'!E13</f>
        <v/>
      </c>
      <c r="C13" s="73" t="n">
        <v>242832.81</v>
      </c>
      <c r="D13" s="145" t="n">
        <v>209999.11</v>
      </c>
      <c r="E13" s="269" t="n">
        <v>230348.64</v>
      </c>
      <c r="F13" s="145" t="n">
        <v>808642.92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793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</f>
        <v/>
      </c>
      <c r="O13" s="172">
        <f>IFERROR(N13/SUM(J13),0)</f>
        <v/>
      </c>
      <c r="P13" s="260" t="n">
        <v>36178.48</v>
      </c>
      <c r="Q13" s="89">
        <f>SUM(P13/E13)</f>
        <v/>
      </c>
      <c r="R13" s="260" t="n">
        <v>34528.35</v>
      </c>
      <c r="S13" s="89">
        <f>SUM(R13/E13)</f>
        <v/>
      </c>
      <c r="T13" s="130" t="n">
        <v>5390.5</v>
      </c>
      <c r="U13" s="26" t="n"/>
    </row>
    <row r="14" hidden="1" ht="15.6" customHeight="1">
      <c r="A14" s="198" t="inlineStr">
        <is>
          <t>Wellington</t>
        </is>
      </c>
      <c r="B14" s="200">
        <f>'15 - 21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'15 - 21 Nov'!E15</f>
        <v/>
      </c>
      <c r="C15" s="73" t="n">
        <v>234804.6</v>
      </c>
      <c r="D15" s="145" t="n">
        <v>151585.43</v>
      </c>
      <c r="E15" s="269" t="n">
        <v>174615.21</v>
      </c>
      <c r="F15" s="145" t="n">
        <v>710474.33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539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20343.04</v>
      </c>
      <c r="S15" s="89">
        <f>SUM(R15/E15)</f>
        <v/>
      </c>
      <c r="T15" s="130" t="n">
        <v>4078.35</v>
      </c>
      <c r="U15" s="9" t="n"/>
    </row>
    <row r="16" ht="15.6" customHeight="1">
      <c r="A16" s="198" t="inlineStr">
        <is>
          <t>Kyalami Corner</t>
        </is>
      </c>
      <c r="B16" s="200">
        <f>'15 - 21 Nov'!E16</f>
        <v/>
      </c>
      <c r="C16" s="73" t="n">
        <v>133257.3</v>
      </c>
      <c r="D16" s="145" t="n">
        <v>126972.01</v>
      </c>
      <c r="E16" s="269" t="n">
        <v>159324.35</v>
      </c>
      <c r="F16" s="145" t="n">
        <v>571965.38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582</v>
      </c>
      <c r="K16" s="63">
        <f>IFERROR(E16/J16,0)</f>
        <v/>
      </c>
      <c r="L16" s="61" t="n">
        <v>49</v>
      </c>
      <c r="M16" s="28">
        <f>IFERROR(L16/J16,0)</f>
        <v/>
      </c>
      <c r="N16" s="46">
        <f>L16+'15 - 21 Nov'!L16</f>
        <v/>
      </c>
      <c r="O16" s="172">
        <f>IFERROR(N16/SUM(J16),0)</f>
        <v/>
      </c>
      <c r="P16" s="260" t="n">
        <v>43318.7</v>
      </c>
      <c r="Q16" s="89">
        <f>SUM(P16/E16)</f>
        <v/>
      </c>
      <c r="R16" s="260" t="n">
        <v>22889.26</v>
      </c>
      <c r="S16" s="89">
        <f>SUM(R16/E16)</f>
        <v/>
      </c>
      <c r="T16" s="130" t="n">
        <v>5818</v>
      </c>
      <c r="U16" s="9" t="n"/>
      <c r="X16" s="238" t="n"/>
    </row>
    <row r="17" ht="15.6" customHeight="1">
      <c r="A17" s="198" t="inlineStr">
        <is>
          <t>Paulshof</t>
        </is>
      </c>
      <c r="B17" s="200">
        <f>'15 - 21 Nov'!E17</f>
        <v/>
      </c>
      <c r="C17" s="73" t="n">
        <v>225430.06</v>
      </c>
      <c r="D17" s="145" t="n">
        <v>143830.58</v>
      </c>
      <c r="E17" s="269" t="n">
        <v>227511.31</v>
      </c>
      <c r="F17" s="145" t="n">
        <v>771081.1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783</v>
      </c>
      <c r="K17" s="63">
        <f>IFERROR(E17/J17,0)</f>
        <v/>
      </c>
      <c r="L17" s="61" t="n">
        <v>40</v>
      </c>
      <c r="M17" s="28">
        <f>IFERROR(L17/J17,0)</f>
        <v/>
      </c>
      <c r="N17" s="46">
        <f>L17+'15 - 21 Nov'!L17</f>
        <v/>
      </c>
      <c r="O17" s="172">
        <f>IFERROR(N17/SUM(J17),0)</f>
        <v/>
      </c>
      <c r="P17" s="260" t="n">
        <v>43685.3</v>
      </c>
      <c r="Q17" s="89">
        <f>SUM(P17/E17)</f>
        <v/>
      </c>
      <c r="R17" s="260" t="n">
        <v>34940.48</v>
      </c>
      <c r="S17" s="89">
        <f>SUM(R17/E17)</f>
        <v/>
      </c>
      <c r="T17" s="130" t="n">
        <v>7451</v>
      </c>
      <c r="U17" s="9" t="n"/>
    </row>
    <row r="18" ht="15.6" customHeight="1">
      <c r="A18" s="198" t="inlineStr">
        <is>
          <t>Queenswood</t>
        </is>
      </c>
      <c r="B18" s="200">
        <f>'15 - 21 Nov'!E18</f>
        <v/>
      </c>
      <c r="C18" s="73" t="n">
        <v>234073.41</v>
      </c>
      <c r="D18" s="73" t="n">
        <v>179881.07</v>
      </c>
      <c r="E18" s="269" t="n">
        <v>180473.33</v>
      </c>
      <c r="F18" s="145" t="n">
        <v>684279.99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658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</f>
        <v/>
      </c>
      <c r="O18" s="172">
        <f>IFERROR(N18/SUM(J18),0)</f>
        <v/>
      </c>
      <c r="P18" s="260" t="n">
        <v>35026.72</v>
      </c>
      <c r="Q18" s="89">
        <f>SUM(P18/E18)</f>
        <v/>
      </c>
      <c r="R18" s="260" t="n">
        <v>18786.83</v>
      </c>
      <c r="S18" s="89">
        <f>SUM(R18/E18)</f>
        <v/>
      </c>
      <c r="T18" s="130" t="n">
        <v>4298.5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'22 - 28 Nov'!E6</f>
        <v/>
      </c>
      <c r="C6" s="255" t="n">
        <v>312733.53</v>
      </c>
      <c r="D6" s="197" t="n">
        <v>237187.54</v>
      </c>
      <c r="E6" s="268" t="n">
        <v>249569.36</v>
      </c>
      <c r="F6" s="123" t="n">
        <v>205097.73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842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</f>
        <v/>
      </c>
      <c r="O6" s="171">
        <f>IFERROR(N6/SUM(J6),0)</f>
        <v/>
      </c>
      <c r="P6" s="259" t="n">
        <v>43710.74</v>
      </c>
      <c r="Q6" s="128">
        <f>SUM(P6/E6)</f>
        <v/>
      </c>
      <c r="R6" s="260" t="n">
        <v>11512.87</v>
      </c>
      <c r="S6" s="128">
        <f>SUM(R6/E6)</f>
        <v/>
      </c>
      <c r="T6" s="129" t="n">
        <v>12457.5</v>
      </c>
      <c r="U6" s="26" t="n"/>
    </row>
    <row r="7" ht="15.6" customHeight="1">
      <c r="A7" s="409" t="inlineStr">
        <is>
          <t>Melrose Arch</t>
        </is>
      </c>
      <c r="B7" s="200">
        <f>'22 - 28 Nov'!E7</f>
        <v/>
      </c>
      <c r="C7" s="73" t="n">
        <v>341167.2</v>
      </c>
      <c r="D7" s="145" t="n">
        <v>354852.1</v>
      </c>
      <c r="E7" s="269" t="n">
        <v>311887.54</v>
      </c>
      <c r="F7" s="145" t="n">
        <v>267284.02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987</v>
      </c>
      <c r="K7" s="63">
        <f>IFERROR(E7/J7,0)</f>
        <v/>
      </c>
      <c r="L7" s="61" t="n">
        <v>102</v>
      </c>
      <c r="M7" s="28">
        <f>IFERROR(L7/J7,0)</f>
        <v/>
      </c>
      <c r="N7" s="46">
        <f>L7+'15 - 21 Nov'!L7+'22 - 28 Nov'!L7</f>
        <v/>
      </c>
      <c r="O7" s="172">
        <f>IFERROR(N7/SUM(J7),0)</f>
        <v/>
      </c>
      <c r="P7" s="260" t="n">
        <v>40699.39</v>
      </c>
      <c r="Q7" s="89">
        <f>SUM(P7/E7)</f>
        <v/>
      </c>
      <c r="R7" s="260" t="n">
        <v>17391.74</v>
      </c>
      <c r="S7" s="89">
        <f>SUM(R7/E7)</f>
        <v/>
      </c>
      <c r="T7" s="130" t="n">
        <v>13806.08</v>
      </c>
      <c r="U7" s="26" t="n"/>
    </row>
    <row r="8" ht="15.6" customHeight="1">
      <c r="A8" s="409" t="inlineStr">
        <is>
          <t>Melville</t>
        </is>
      </c>
      <c r="B8" s="200">
        <f>'22 - 28 Nov'!E8</f>
        <v/>
      </c>
      <c r="C8" s="73" t="n">
        <v>134327.28</v>
      </c>
      <c r="D8" s="145" t="n">
        <v>103296.92</v>
      </c>
      <c r="E8" s="269" t="n">
        <v>142037.23</v>
      </c>
      <c r="F8" s="145" t="n">
        <v>113748.18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601</v>
      </c>
      <c r="K8" s="63">
        <f>IFERROR(E8/J8,0)</f>
        <v/>
      </c>
      <c r="L8" s="61" t="n">
        <v>26</v>
      </c>
      <c r="M8" s="28">
        <f>IFERROR(L8/J8,0)</f>
        <v/>
      </c>
      <c r="N8" s="46">
        <f>L8+'15 - 21 Nov'!L8+'22 - 28 Nov'!L8</f>
        <v/>
      </c>
      <c r="O8" s="172">
        <f>IFERROR(N8/SUM(J8),0)</f>
        <v/>
      </c>
      <c r="P8" s="260" t="n">
        <v>74421.35000000001</v>
      </c>
      <c r="Q8" s="89">
        <f>SUM(P8/E8)</f>
        <v/>
      </c>
      <c r="R8" s="260" t="n">
        <v>14595.83</v>
      </c>
      <c r="S8" s="89">
        <f>SUM(R8/E8)</f>
        <v/>
      </c>
      <c r="T8" s="130" t="n">
        <v>3183</v>
      </c>
      <c r="U8" s="26" t="n"/>
    </row>
    <row r="9" ht="15.6" customHeight="1">
      <c r="A9" s="409" t="inlineStr">
        <is>
          <t>Rosebank</t>
        </is>
      </c>
      <c r="B9" s="200">
        <f>'22 - 28 Nov'!E9</f>
        <v/>
      </c>
      <c r="C9" s="73" t="n">
        <v>403789.74</v>
      </c>
      <c r="D9" s="145" t="n">
        <v>269423.21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'22 - 28 Nov'!E10</f>
        <v/>
      </c>
      <c r="C10" s="73" t="n">
        <v>198366.18</v>
      </c>
      <c r="D10" s="145" t="n">
        <v>158423.91</v>
      </c>
      <c r="E10" s="269" t="n">
        <v>150479.33</v>
      </c>
      <c r="F10" s="145" t="n">
        <v>123420.73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544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</f>
        <v/>
      </c>
      <c r="O10" s="172">
        <f>IFERROR(N10/SUM(J10),0)</f>
        <v/>
      </c>
      <c r="P10" s="260" t="n">
        <v>65177.13</v>
      </c>
      <c r="Q10" s="89">
        <f>SUM(P10/E10)</f>
        <v/>
      </c>
      <c r="R10" s="260" t="n">
        <v>12139.04</v>
      </c>
      <c r="S10" s="89">
        <f>SUM(R10/E10)</f>
        <v/>
      </c>
      <c r="T10" s="130" t="n">
        <v>2318.3</v>
      </c>
      <c r="U10" s="26" t="n"/>
    </row>
    <row r="11" ht="15.6" customHeight="1">
      <c r="A11" s="409" t="inlineStr">
        <is>
          <t>Eagles Landing</t>
        </is>
      </c>
      <c r="B11" s="200">
        <f>'22 - 28 Nov'!E11</f>
        <v/>
      </c>
      <c r="C11" s="73" t="n">
        <v>390457.33</v>
      </c>
      <c r="D11" s="145" t="n">
        <v>277988.48</v>
      </c>
      <c r="E11" s="269" t="n">
        <v>276171.59</v>
      </c>
      <c r="F11" s="145" t="n">
        <v>226242.74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855</v>
      </c>
      <c r="K11" s="63">
        <f>IFERROR(E11/J11,0)</f>
        <v/>
      </c>
      <c r="L11" s="61" t="n">
        <v>57</v>
      </c>
      <c r="M11" s="28">
        <f>IFERROR(L11/J11,0)</f>
        <v/>
      </c>
      <c r="N11" s="46">
        <f>L11+'15 - 21 Nov'!L11+'22 - 28 Nov'!L11</f>
        <v/>
      </c>
      <c r="O11" s="172">
        <f>IFERROR(N11/SUM(J11),0)</f>
        <v/>
      </c>
      <c r="P11" s="260" t="n">
        <v>54485.48</v>
      </c>
      <c r="Q11" s="89">
        <f>SUM(P11/E11)</f>
        <v/>
      </c>
      <c r="R11" s="260" t="n">
        <v>25400.17</v>
      </c>
      <c r="S11" s="89">
        <f>SUM(R11/E11)</f>
        <v/>
      </c>
      <c r="T11" s="130" t="n">
        <v>10421.7</v>
      </c>
      <c r="U11" s="26" t="n"/>
    </row>
    <row r="12" ht="15.6" customHeight="1">
      <c r="A12" s="198" t="inlineStr">
        <is>
          <t>Stellenbosch</t>
        </is>
      </c>
      <c r="B12" s="200">
        <f>'22 - 28 Nov'!E12</f>
        <v/>
      </c>
      <c r="C12" s="73" t="n">
        <v>171682.03</v>
      </c>
      <c r="D12" s="145" t="n">
        <v>107695.94</v>
      </c>
      <c r="E12" s="269" t="n">
        <v>143967.6</v>
      </c>
      <c r="F12" s="145" t="n">
        <v>112483.89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476</v>
      </c>
      <c r="K12" s="63">
        <f>IFERROR(E12/J12,0)</f>
        <v/>
      </c>
      <c r="L12" s="61" t="n">
        <v>67</v>
      </c>
      <c r="M12" s="28">
        <f>IFERROR(L12/J12,0)</f>
        <v/>
      </c>
      <c r="N12" s="46">
        <f>L12+'15 - 21 Nov'!L12+'22 - 28 Nov'!L12</f>
        <v/>
      </c>
      <c r="O12" s="172">
        <f>IFERROR(N12/SUM(J12),0)</f>
        <v/>
      </c>
      <c r="P12" s="260" t="n">
        <v>26050.91</v>
      </c>
      <c r="Q12" s="89">
        <f>SUM(P12/E12)</f>
        <v/>
      </c>
      <c r="R12" s="260" t="n">
        <v>12088.35</v>
      </c>
      <c r="S12" s="89">
        <f>SUM(R12/E12)</f>
        <v/>
      </c>
      <c r="T12" s="130" t="n">
        <v>5779</v>
      </c>
      <c r="U12" s="26" t="n"/>
    </row>
    <row r="13" ht="15.6" customHeight="1">
      <c r="A13" s="198" t="inlineStr">
        <is>
          <t>Lynnwood</t>
        </is>
      </c>
      <c r="B13" s="200">
        <f>'22 - 28 Nov'!E13</f>
        <v/>
      </c>
      <c r="C13" s="73" t="n">
        <v>235871.29</v>
      </c>
      <c r="D13" s="145" t="n">
        <v>190923.7</v>
      </c>
      <c r="E13" s="269" t="n">
        <v>214680.88</v>
      </c>
      <c r="F13" s="145" t="n">
        <v>172431.89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771</v>
      </c>
      <c r="K13" s="63">
        <f>IFERROR(E13/J13,0)</f>
        <v/>
      </c>
      <c r="L13" s="61" t="n">
        <v>94</v>
      </c>
      <c r="M13" s="28">
        <f>IFERROR(L13/J13,0)</f>
        <v/>
      </c>
      <c r="N13" s="46">
        <f>L13+'15 - 21 Nov'!L13+'22 - 28 Nov'!L13</f>
        <v/>
      </c>
      <c r="O13" s="172">
        <f>IFERROR(N13/SUM(J13),0)</f>
        <v/>
      </c>
      <c r="P13" s="260" t="n">
        <v>36048.96</v>
      </c>
      <c r="Q13" s="89">
        <f>SUM(P13/E13)</f>
        <v/>
      </c>
      <c r="R13" s="260" t="n">
        <v>31575.65</v>
      </c>
      <c r="S13" s="89">
        <f>SUM(R13/E13)</f>
        <v/>
      </c>
      <c r="T13" s="130" t="n">
        <v>5774</v>
      </c>
      <c r="U13" s="26" t="n"/>
    </row>
    <row r="14" hidden="1" ht="15.6" customHeight="1">
      <c r="A14" s="198" t="inlineStr">
        <is>
          <t>Wellington</t>
        </is>
      </c>
      <c r="B14" s="200">
        <f>'22 - 28 Nov'!E14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'22 - 28 Nov'!E15</f>
        <v/>
      </c>
      <c r="C15" s="73" t="n">
        <v>316293.24</v>
      </c>
      <c r="D15" s="145" t="n">
        <v>175056.05</v>
      </c>
      <c r="E15" s="269" t="n">
        <v>215508.03</v>
      </c>
      <c r="F15" s="145" t="n">
        <v>170794.9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671</v>
      </c>
      <c r="K15" s="63">
        <f>IFERROR(E15/J15,0)</f>
        <v/>
      </c>
      <c r="L15" s="61" t="n">
        <v>64</v>
      </c>
      <c r="M15" s="28">
        <f>IFERROR(L15/J15,0)</f>
        <v/>
      </c>
      <c r="N15" s="46">
        <f>L15+'15 - 21 Nov'!L15+'22 - 28 Nov'!L15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17440.87</v>
      </c>
      <c r="S15" s="89">
        <f>SUM(R15/E15)</f>
        <v/>
      </c>
      <c r="T15" s="130" t="n">
        <v>4115.4</v>
      </c>
      <c r="U15" s="9" t="n"/>
    </row>
    <row r="16" ht="15.6" customHeight="1">
      <c r="A16" s="198" t="inlineStr">
        <is>
          <t>Kyalami Corner</t>
        </is>
      </c>
      <c r="B16" s="200">
        <f>'22 - 28 Nov'!E16</f>
        <v/>
      </c>
      <c r="C16" s="73" t="n">
        <v>190910.89</v>
      </c>
      <c r="D16" s="145" t="n">
        <v>148198.58</v>
      </c>
      <c r="E16" s="269" t="n">
        <v>155549.5</v>
      </c>
      <c r="F16" s="145" t="n">
        <v>129814.06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598</v>
      </c>
      <c r="K16" s="63">
        <f>IFERROR(E16/J16,0)</f>
        <v/>
      </c>
      <c r="L16" s="61" t="n">
        <v>50</v>
      </c>
      <c r="M16" s="28">
        <f>IFERROR(L16/J16,0)</f>
        <v/>
      </c>
      <c r="N16" s="46">
        <f>L16+'15 - 21 Nov'!L16+'22 - 28 Nov'!L16</f>
        <v/>
      </c>
      <c r="O16" s="172">
        <f>IFERROR(N16/SUM(J16),0)</f>
        <v/>
      </c>
      <c r="P16" s="260" t="n">
        <v>39611.35</v>
      </c>
      <c r="Q16" s="89">
        <f>SUM(P16/E16)</f>
        <v/>
      </c>
      <c r="R16" s="260" t="n">
        <v>30858.91</v>
      </c>
      <c r="S16" s="89">
        <f>SUM(R16/E16)</f>
        <v/>
      </c>
      <c r="T16" s="130" t="n">
        <v>7951.55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'22 - 28 Nov'!E17</f>
        <v/>
      </c>
      <c r="C17" s="73" t="n">
        <v>221661.96</v>
      </c>
      <c r="D17" s="145" t="n">
        <v>192358.53</v>
      </c>
      <c r="E17" s="269" t="n">
        <v>170425.3</v>
      </c>
      <c r="F17" s="145" t="n">
        <v>147323.4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675</v>
      </c>
      <c r="K17" s="63">
        <f>IFERROR(E17/J17,0)</f>
        <v/>
      </c>
      <c r="L17" s="61" t="n">
        <v>50</v>
      </c>
      <c r="M17" s="28">
        <f>IFERROR(L17/J17,0)</f>
        <v/>
      </c>
      <c r="N17" s="46">
        <f>L17+'15 - 21 Nov'!L17+'22 - 28 Nov'!L17</f>
        <v/>
      </c>
      <c r="O17" s="172">
        <f>IFERROR(N17/SUM(J17),0)</f>
        <v/>
      </c>
      <c r="P17" s="260" t="n">
        <v>39831.79</v>
      </c>
      <c r="Q17" s="89">
        <f>SUM(P17/E17)</f>
        <v/>
      </c>
      <c r="R17" s="260" t="n">
        <v>27847.3</v>
      </c>
      <c r="S17" s="89">
        <f>SUM(R17/E17)</f>
        <v/>
      </c>
      <c r="T17" s="130" t="n">
        <v>7566.74</v>
      </c>
      <c r="U17" s="9" t="n"/>
    </row>
    <row r="18" ht="15.6" customHeight="1">
      <c r="A18" s="198" t="inlineStr">
        <is>
          <t>Queenswood</t>
        </is>
      </c>
      <c r="B18" s="200">
        <f>'22 - 28 Nov'!E18</f>
        <v/>
      </c>
      <c r="C18" s="73" t="n">
        <v>208582.53</v>
      </c>
      <c r="D18" s="73" t="n">
        <v>183327.04</v>
      </c>
      <c r="E18" s="269" t="n">
        <v>171537.9</v>
      </c>
      <c r="F18" s="145" t="n">
        <v>135340.37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657</v>
      </c>
      <c r="K18" s="63">
        <f>IFERROR(E18/J18,0)</f>
        <v/>
      </c>
      <c r="L18" s="61" t="n">
        <v>85</v>
      </c>
      <c r="M18" s="28">
        <f>IFERROR(L18/J18,0)</f>
        <v/>
      </c>
      <c r="N18" s="46">
        <f>L18+'15 - 21 Nov'!L18+'22 - 28 Nov'!L18</f>
        <v/>
      </c>
      <c r="O18" s="172">
        <f>IFERROR(N18/SUM(J18),0)</f>
        <v/>
      </c>
      <c r="P18" s="260" t="n">
        <v>41485.24</v>
      </c>
      <c r="Q18" s="89">
        <f>SUM(P18/E18)</f>
        <v/>
      </c>
      <c r="R18" s="260" t="n">
        <v>14637.78</v>
      </c>
      <c r="S18" s="89">
        <f>SUM(R18/E18)</f>
        <v/>
      </c>
      <c r="T18" s="130" t="n">
        <v>3671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'29 Nov - 5 Dec'!E6</f>
        <v/>
      </c>
      <c r="C6" s="255" t="n">
        <v>316187.89</v>
      </c>
      <c r="D6" s="197" t="n">
        <v>211933.97</v>
      </c>
      <c r="E6" s="268" t="n">
        <v>221100.21</v>
      </c>
      <c r="F6" s="123" t="n">
        <v>426197.94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720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</f>
        <v/>
      </c>
      <c r="O6" s="171">
        <f>IFERROR(N6/SUM(J6),0)</f>
        <v/>
      </c>
      <c r="P6" s="259" t="n">
        <v>46034.78</v>
      </c>
      <c r="Q6" s="128">
        <f>SUM(P6/E6)</f>
        <v/>
      </c>
      <c r="R6" s="260" t="n">
        <v>12949.09</v>
      </c>
      <c r="S6" s="128">
        <f>SUM(R6/E6)</f>
        <v/>
      </c>
      <c r="T6" s="129" t="n">
        <v>6053</v>
      </c>
      <c r="U6" s="26" t="n"/>
    </row>
    <row r="7" ht="15.6" customHeight="1">
      <c r="A7" s="409" t="inlineStr">
        <is>
          <t>Melrose Arch</t>
        </is>
      </c>
      <c r="B7" s="200">
        <f>'29 Nov - 5 Dec'!E7</f>
        <v/>
      </c>
      <c r="C7" s="73" t="n">
        <v>537525.52</v>
      </c>
      <c r="D7" s="145" t="n">
        <v>399085.56</v>
      </c>
      <c r="E7" s="269" t="n">
        <v>341822.34</v>
      </c>
      <c r="F7" s="145" t="n">
        <v>609106.36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1046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</f>
        <v/>
      </c>
      <c r="O7" s="172">
        <f>IFERROR(N7/SUM(J7),0)</f>
        <v/>
      </c>
      <c r="P7" s="260" t="n">
        <v>44197.91</v>
      </c>
      <c r="Q7" s="89">
        <f>SUM(P7/E7)</f>
        <v/>
      </c>
      <c r="R7" s="260" t="n">
        <v>15580.13</v>
      </c>
      <c r="S7" s="89">
        <f>SUM(R7/E7)</f>
        <v/>
      </c>
      <c r="T7" s="130" t="n">
        <v>13183.05</v>
      </c>
      <c r="U7" s="26" t="n"/>
    </row>
    <row r="8" ht="15.6" customHeight="1">
      <c r="A8" s="409" t="inlineStr">
        <is>
          <t>Melville</t>
        </is>
      </c>
      <c r="B8" s="200">
        <f>'29 Nov - 5 Dec'!E8</f>
        <v/>
      </c>
      <c r="C8" s="73" t="n">
        <v>129151.53</v>
      </c>
      <c r="D8" s="145" t="n">
        <v>105332.63</v>
      </c>
      <c r="E8" s="269" t="n">
        <v>128162.21</v>
      </c>
      <c r="F8" s="145" t="n">
        <v>241910.39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482</v>
      </c>
      <c r="K8" s="63">
        <f>IFERROR(E8/J8,0)</f>
        <v/>
      </c>
      <c r="L8" s="61" t="n">
        <v>15</v>
      </c>
      <c r="M8" s="28">
        <f>IFERROR(L8/J8,0)</f>
        <v/>
      </c>
      <c r="N8" s="46">
        <f>L8+'15 - 21 Nov'!L8+'22 - 28 Nov'!L8+'29 Nov - 5 Dec'!L8</f>
        <v/>
      </c>
      <c r="O8" s="172">
        <f>IFERROR(N8/SUM(J8),0)</f>
        <v/>
      </c>
      <c r="P8" s="260" t="n">
        <v>57852.57</v>
      </c>
      <c r="Q8" s="89">
        <f>SUM(P8/E8)</f>
        <v/>
      </c>
      <c r="R8" s="260" t="n">
        <v>16599.74</v>
      </c>
      <c r="S8" s="89">
        <f>SUM(R8/E8)</f>
        <v/>
      </c>
      <c r="T8" s="130" t="n">
        <v>3182</v>
      </c>
      <c r="U8" s="26" t="n"/>
    </row>
    <row r="9" ht="15.6" customHeight="1">
      <c r="A9" s="409" t="inlineStr">
        <is>
          <t>Rosebank</t>
        </is>
      </c>
      <c r="B9" s="200">
        <f>'29 Nov - 5 Dec'!E9</f>
        <v/>
      </c>
      <c r="C9" s="73" t="n">
        <v>461868.74</v>
      </c>
      <c r="D9" s="145" t="n">
        <v>348302.25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'29 Nov - 5 Dec'!E10</f>
        <v/>
      </c>
      <c r="C10" s="73" t="n">
        <v>140709.13</v>
      </c>
      <c r="D10" s="145" t="n">
        <v>155504.39</v>
      </c>
      <c r="E10" s="269" t="n">
        <v>174496.27</v>
      </c>
      <c r="F10" s="145" t="n">
        <v>297917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589</v>
      </c>
      <c r="K10" s="63">
        <f>IFERROR(E10/J10,0)</f>
        <v/>
      </c>
      <c r="L10" s="61" t="n">
        <v>56</v>
      </c>
      <c r="M10" s="28">
        <f>IFERROR(L10/J10,0)</f>
        <v/>
      </c>
      <c r="N10" s="46">
        <f>L10+'15 - 21 Nov'!L10+'22 - 28 Nov'!L10+'29 Nov - 5 Dec'!L10</f>
        <v/>
      </c>
      <c r="O10" s="172">
        <f>IFERROR(N10/SUM(J10),0)</f>
        <v/>
      </c>
      <c r="P10" s="260" t="n">
        <v>72412.09</v>
      </c>
      <c r="Q10" s="89">
        <f>SUM(P10/E10)</f>
        <v/>
      </c>
      <c r="R10" s="260" t="n">
        <v>11292.22</v>
      </c>
      <c r="S10" s="89">
        <f>SUM(R10/E10)</f>
        <v/>
      </c>
      <c r="T10" s="130" t="n">
        <v>4036</v>
      </c>
      <c r="U10" s="26" t="n"/>
    </row>
    <row r="11" ht="15.6" customHeight="1">
      <c r="A11" s="409" t="inlineStr">
        <is>
          <t>Eagles Landing</t>
        </is>
      </c>
      <c r="B11" s="200">
        <f>'29 Nov - 5 Dec'!E11</f>
        <v/>
      </c>
      <c r="C11" s="73" t="n">
        <v>423448.09</v>
      </c>
      <c r="D11" s="145" t="n">
        <v>272045.12</v>
      </c>
      <c r="E11" s="269" t="n">
        <v>253424.14</v>
      </c>
      <c r="F11" s="145" t="n">
        <v>479662.88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831</v>
      </c>
      <c r="K11" s="63">
        <f>IFERROR(E11/J11,0)</f>
        <v/>
      </c>
      <c r="L11" s="61" t="n">
        <v>63</v>
      </c>
      <c r="M11" s="28">
        <f>IFERROR(L11/J11,0)</f>
        <v/>
      </c>
      <c r="N11" s="46">
        <f>L11+'15 - 21 Nov'!L11+'22 - 28 Nov'!L11+'29 Nov - 5 Dec'!L11</f>
        <v/>
      </c>
      <c r="O11" s="172">
        <f>IFERROR(N11/SUM(J11),0)</f>
        <v/>
      </c>
      <c r="P11" s="260" t="n">
        <v>52932.97</v>
      </c>
      <c r="Q11" s="89">
        <f>SUM(P11/E11)</f>
        <v/>
      </c>
      <c r="R11" s="260" t="n">
        <v>19619.57</v>
      </c>
      <c r="S11" s="89">
        <f>SUM(R11/E11)</f>
        <v/>
      </c>
      <c r="T11" s="130" t="n">
        <v>9936.5</v>
      </c>
      <c r="U11" s="26" t="n"/>
    </row>
    <row r="12" ht="15.6" customHeight="1">
      <c r="A12" s="198" t="inlineStr">
        <is>
          <t>Stellenbosch</t>
        </is>
      </c>
      <c r="B12" s="200">
        <f>'29 Nov - 5 Dec'!E12</f>
        <v/>
      </c>
      <c r="C12" s="73" t="n">
        <v>163386.12</v>
      </c>
      <c r="D12" s="145" t="n">
        <v>110968.88</v>
      </c>
      <c r="E12" s="269" t="n">
        <v>122087.36</v>
      </c>
      <c r="F12" s="145" t="n">
        <v>234571.25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444</v>
      </c>
      <c r="K12" s="63">
        <f>IFERROR(E12/J12,0)</f>
        <v/>
      </c>
      <c r="L12" s="61" t="n">
        <v>56</v>
      </c>
      <c r="M12" s="28">
        <f>IFERROR(L12/J12,0)</f>
        <v/>
      </c>
      <c r="N12" s="46">
        <f>L12+'15 - 21 Nov'!L12+'22 - 28 Nov'!L12+'29 Nov - 5 Dec'!L12</f>
        <v/>
      </c>
      <c r="O12" s="172">
        <f>IFERROR(N12/SUM(J12),0)</f>
        <v/>
      </c>
      <c r="P12" s="260" t="n">
        <v>18157.39</v>
      </c>
      <c r="Q12" s="89">
        <f>SUM(P12/E12)</f>
        <v/>
      </c>
      <c r="R12" s="260" t="n">
        <v>10051.57</v>
      </c>
      <c r="S12" s="89">
        <f>SUM(R12/E12)</f>
        <v/>
      </c>
      <c r="T12" s="130" t="n">
        <v>6463.5</v>
      </c>
      <c r="U12" s="26" t="n"/>
    </row>
    <row r="13" ht="15.6" customHeight="1">
      <c r="A13" s="198" t="inlineStr">
        <is>
          <t>Lynnwood</t>
        </is>
      </c>
      <c r="B13" s="200">
        <f>'29 Nov - 5 Dec'!E13</f>
        <v/>
      </c>
      <c r="C13" s="73" t="n">
        <v>219828.87</v>
      </c>
      <c r="D13" s="145" t="n">
        <v>221561.43</v>
      </c>
      <c r="E13" s="269" t="n">
        <v>207065.35</v>
      </c>
      <c r="F13" s="145" t="n">
        <v>379497.24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733</v>
      </c>
      <c r="K13" s="63">
        <f>IFERROR(E13/J13,0)</f>
        <v/>
      </c>
      <c r="L13" s="61" t="n">
        <v>79</v>
      </c>
      <c r="M13" s="28">
        <f>IFERROR(L13/J13,0)</f>
        <v/>
      </c>
      <c r="N13" s="46">
        <f>L13+'15 - 21 Nov'!L13+'22 - 28 Nov'!L13+'29 Nov - 5 Dec'!L13</f>
        <v/>
      </c>
      <c r="O13" s="172">
        <f>IFERROR(N13/SUM(J13),0)</f>
        <v/>
      </c>
      <c r="P13" s="260" t="n">
        <v>37987.81</v>
      </c>
      <c r="Q13" s="89">
        <f>SUM(P13/E13)</f>
        <v/>
      </c>
      <c r="R13" s="260" t="n">
        <v>22849.3</v>
      </c>
      <c r="S13" s="89">
        <f>SUM(R13/E13)</f>
        <v/>
      </c>
      <c r="T13" s="130" t="n">
        <v>6400.3</v>
      </c>
      <c r="U13" s="26" t="n"/>
    </row>
    <row r="14" hidden="1" ht="15.6" customHeight="1">
      <c r="A14" s="198" t="inlineStr">
        <is>
          <t>Wellington</t>
        </is>
      </c>
      <c r="B14" s="200">
        <f>'29 Nov - 5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'29 Nov - 5 Dec'!E15</f>
        <v/>
      </c>
      <c r="C15" s="73" t="n">
        <v>423907.22</v>
      </c>
      <c r="D15" s="145" t="n">
        <v>235811.02</v>
      </c>
      <c r="E15" s="269" t="n">
        <v>324926.32</v>
      </c>
      <c r="F15" s="145" t="n">
        <v>495721.22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958</v>
      </c>
      <c r="K15" s="63">
        <f>IFERROR(E15/J15,0)</f>
        <v/>
      </c>
      <c r="L15" s="61" t="n">
        <v>21</v>
      </c>
      <c r="M15" s="28">
        <f>IFERROR(L15/J15,0)</f>
        <v/>
      </c>
      <c r="N15" s="46">
        <f>L15+'15 - 21 Nov'!L15+'22 - 28 Nov'!L15+'29 Nov - 5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34279.13</v>
      </c>
      <c r="S15" s="89">
        <f>SUM(R15/E15)</f>
        <v/>
      </c>
      <c r="T15" s="130" t="n">
        <v>4039.2</v>
      </c>
      <c r="U15" s="9" t="n"/>
    </row>
    <row r="16" ht="15.6" customHeight="1">
      <c r="A16" s="198" t="inlineStr">
        <is>
          <t>Kyalami Corner</t>
        </is>
      </c>
      <c r="B16" s="200">
        <f>'29 Nov - 5 Dec'!E16</f>
        <v/>
      </c>
      <c r="C16" s="73" t="n">
        <v>171875.61</v>
      </c>
      <c r="D16" s="145" t="n">
        <v>149536.15</v>
      </c>
      <c r="E16" s="269" t="n">
        <v>129659.6</v>
      </c>
      <c r="F16" s="145" t="n">
        <v>259473.66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487</v>
      </c>
      <c r="K16" s="63">
        <f>IFERROR(E16/J16,0)</f>
        <v/>
      </c>
      <c r="L16" s="61" t="n">
        <v>38</v>
      </c>
      <c r="M16" s="28">
        <f>IFERROR(L16/J16,0)</f>
        <v/>
      </c>
      <c r="N16" s="46">
        <f>L16+'15 - 21 Nov'!L16+'22 - 28 Nov'!L16+'29 Nov - 5 Dec'!L16</f>
        <v/>
      </c>
      <c r="O16" s="172">
        <f>IFERROR(N16/SUM(J16),0)</f>
        <v/>
      </c>
      <c r="P16" s="260" t="n">
        <v>41918.63</v>
      </c>
      <c r="Q16" s="89">
        <f>SUM(P16/E16)</f>
        <v/>
      </c>
      <c r="R16" s="260" t="n">
        <v>21350.61</v>
      </c>
      <c r="S16" s="89">
        <f>SUM(R16/E16)</f>
        <v/>
      </c>
      <c r="T16" s="130" t="n">
        <v>3555</v>
      </c>
      <c r="U16" s="9" t="n"/>
      <c r="X16" s="238" t="n"/>
    </row>
    <row r="17" ht="15.6" customHeight="1">
      <c r="A17" s="198" t="inlineStr">
        <is>
          <t>Paulshof</t>
        </is>
      </c>
      <c r="B17" s="200">
        <f>'29 Nov - 5 Dec'!E17</f>
        <v/>
      </c>
      <c r="C17" s="73" t="n">
        <v>248340.4</v>
      </c>
      <c r="D17" s="145" t="n">
        <v>185388.01</v>
      </c>
      <c r="E17" s="269" t="n">
        <v>167187.51</v>
      </c>
      <c r="F17" s="145" t="n">
        <v>314510.91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690</v>
      </c>
      <c r="K17" s="63">
        <f>IFERROR(E17/J17,0)</f>
        <v/>
      </c>
      <c r="L17" s="61" t="n">
        <v>53</v>
      </c>
      <c r="M17" s="28">
        <f>IFERROR(L17/J17,0)</f>
        <v/>
      </c>
      <c r="N17" s="46">
        <f>L17+'15 - 21 Nov'!L17+'22 - 28 Nov'!L17+'29 Nov - 5 Dec'!L17</f>
        <v/>
      </c>
      <c r="O17" s="172">
        <f>IFERROR(N17/SUM(J17),0)</f>
        <v/>
      </c>
      <c r="P17" s="260" t="n">
        <v>27990.43</v>
      </c>
      <c r="Q17" s="89">
        <f>SUM(P17/E17)</f>
        <v/>
      </c>
      <c r="R17" s="260" t="n">
        <v>27290.37</v>
      </c>
      <c r="S17" s="89">
        <f>SUM(R17/E17)</f>
        <v/>
      </c>
      <c r="T17" s="130" t="n">
        <v>5719.3</v>
      </c>
      <c r="U17" s="9" t="n"/>
    </row>
    <row r="18" ht="15.6" customHeight="1">
      <c r="A18" s="198" t="inlineStr">
        <is>
          <t>Queenswood</t>
        </is>
      </c>
      <c r="B18" s="200">
        <f>'29 Nov - 5 Dec'!E18</f>
        <v/>
      </c>
      <c r="C18" s="73" t="n">
        <v>189552.3</v>
      </c>
      <c r="D18" s="73" t="n">
        <v>157947.54</v>
      </c>
      <c r="E18" s="269" t="n">
        <v>182335.29</v>
      </c>
      <c r="F18" s="145" t="n">
        <v>317675.66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669</v>
      </c>
      <c r="K18" s="63">
        <f>IFERROR(E18/J18,0)</f>
        <v/>
      </c>
      <c r="L18" s="61" t="n">
        <v>92</v>
      </c>
      <c r="M18" s="28">
        <f>IFERROR(L18/J18,0)</f>
        <v/>
      </c>
      <c r="N18" s="46">
        <f>L18+'15 - 21 Nov'!L18+'22 - 28 Nov'!L18+'29 Nov - 5 Dec'!L18</f>
        <v/>
      </c>
      <c r="O18" s="172">
        <f>IFERROR(N18/SUM(J18),0)</f>
        <v/>
      </c>
      <c r="P18" s="260" t="n">
        <v>33271</v>
      </c>
      <c r="Q18" s="89">
        <f>SUM(P18/E18)</f>
        <v/>
      </c>
      <c r="R18" s="260" t="n">
        <v>19619.26</v>
      </c>
      <c r="S18" s="89">
        <f>SUM(R18/E18)</f>
        <v/>
      </c>
      <c r="T18" s="130" t="n">
        <v>4274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'6 - 12 Dec'!E6</f>
        <v/>
      </c>
      <c r="C6" s="255" t="n">
        <v>332934.52</v>
      </c>
      <c r="D6" s="197" t="n">
        <v>237883.58</v>
      </c>
      <c r="E6" s="268" t="n">
        <v>247695.9</v>
      </c>
      <c r="F6" s="123" t="n">
        <v>673893.84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753</v>
      </c>
      <c r="K6" s="63">
        <f>IFERROR(E6/J6,0)</f>
        <v/>
      </c>
      <c r="L6" s="125" t="n">
        <v>59</v>
      </c>
      <c r="M6" s="126">
        <f>IFERROR(L6/J6,0)</f>
        <v/>
      </c>
      <c r="N6" s="46">
        <f>L6+'15 - 21 Nov'!L6+'22 - 28 Nov'!L6+'29 Nov - 5 Dec'!L6+'6 - 12 Dec'!L6</f>
        <v/>
      </c>
      <c r="O6" s="171">
        <f>IFERROR(N6/SUM(J6),0)</f>
        <v/>
      </c>
      <c r="P6" s="259" t="n">
        <v>52326.35</v>
      </c>
      <c r="Q6" s="128">
        <f>SUM(P6/E6)</f>
        <v/>
      </c>
      <c r="R6" s="260" t="n">
        <v>9878.09</v>
      </c>
      <c r="S6" s="128">
        <f>SUM(R6/E6)</f>
        <v/>
      </c>
      <c r="T6" s="129" t="n">
        <v>13445</v>
      </c>
      <c r="U6" s="26" t="n"/>
    </row>
    <row r="7" ht="15.6" customHeight="1">
      <c r="A7" s="409" t="inlineStr">
        <is>
          <t>Melrose Arch</t>
        </is>
      </c>
      <c r="B7" s="200">
        <f>'6 - 12 Dec'!E7</f>
        <v/>
      </c>
      <c r="C7" s="73" t="n">
        <v>503613.1</v>
      </c>
      <c r="D7" s="145" t="n">
        <v>387463.59</v>
      </c>
      <c r="E7" s="269" t="n">
        <v>416851.52</v>
      </c>
      <c r="F7" s="145" t="n">
        <v>1025957.88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1102</v>
      </c>
      <c r="K7" s="63">
        <f>IFERROR(E7/J7,0)</f>
        <v/>
      </c>
      <c r="L7" s="61" t="n">
        <v>42</v>
      </c>
      <c r="M7" s="28">
        <f>IFERROR(L7/J7,0)</f>
        <v/>
      </c>
      <c r="N7" s="46">
        <f>L7+'15 - 21 Nov'!L7+'22 - 28 Nov'!L7+'29 Nov - 5 Dec'!L7+'6 - 12 Dec'!L7</f>
        <v/>
      </c>
      <c r="O7" s="172">
        <f>IFERROR(N7/SUM(J7),0)</f>
        <v/>
      </c>
      <c r="P7" s="260" t="n">
        <v>39157.46</v>
      </c>
      <c r="Q7" s="89">
        <f>SUM(P7/E7)</f>
        <v/>
      </c>
      <c r="R7" s="260" t="n">
        <v>28894.17</v>
      </c>
      <c r="S7" s="89">
        <f>SUM(R7/E7)</f>
        <v/>
      </c>
      <c r="T7" s="130" t="n">
        <v>14865.24</v>
      </c>
      <c r="U7" s="26" t="n"/>
    </row>
    <row r="8" ht="15.6" customHeight="1">
      <c r="A8" s="409" t="inlineStr">
        <is>
          <t>Melville</t>
        </is>
      </c>
      <c r="B8" s="200">
        <f>'6 - 12 Dec'!E8</f>
        <v/>
      </c>
      <c r="C8" s="73" t="n">
        <v>105968.29</v>
      </c>
      <c r="D8" s="145" t="n">
        <v>106325.81</v>
      </c>
      <c r="E8" s="269" t="n">
        <v>128373.96</v>
      </c>
      <c r="F8" s="145" t="n">
        <v>370284.35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520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</f>
        <v/>
      </c>
      <c r="O8" s="172">
        <f>IFERROR(N8/SUM(J8),0)</f>
        <v/>
      </c>
      <c r="P8" s="260" t="n">
        <v>61133.22</v>
      </c>
      <c r="Q8" s="89">
        <f>SUM(P8/E8)</f>
        <v/>
      </c>
      <c r="R8" s="260" t="n">
        <v>21018.87</v>
      </c>
      <c r="S8" s="89">
        <f>SUM(R8/E8)</f>
        <v/>
      </c>
      <c r="T8" s="130" t="n">
        <v>3071</v>
      </c>
      <c r="U8" s="26" t="n"/>
    </row>
    <row r="9" ht="15.6" customHeight="1">
      <c r="A9" s="409" t="inlineStr">
        <is>
          <t>Rosebank</t>
        </is>
      </c>
      <c r="B9" s="200">
        <f>'6 - 12 Dec'!E9</f>
        <v/>
      </c>
      <c r="C9" s="73" t="n">
        <v>376764.91</v>
      </c>
      <c r="D9" s="145" t="n">
        <v>269024.33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'6 - 12 Dec'!E10</f>
        <v/>
      </c>
      <c r="C10" s="73" t="n">
        <v>115192.67</v>
      </c>
      <c r="D10" s="145" t="n">
        <v>136185.12</v>
      </c>
      <c r="E10" s="269" t="n">
        <v>150716.72</v>
      </c>
      <c r="F10" s="145" t="n">
        <v>448633.72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39</v>
      </c>
      <c r="M10" s="28">
        <f>IFERROR(L10/J10,0)</f>
        <v/>
      </c>
      <c r="N10" s="46">
        <f>L10+'15 - 21 Nov'!L10+'22 - 28 Nov'!L10+'29 Nov - 5 Dec'!L10+'6 - 12 Dec'!L10</f>
        <v/>
      </c>
      <c r="O10" s="172">
        <f>IFERROR(N10/SUM(J10),0)</f>
        <v/>
      </c>
      <c r="P10" s="260" t="n">
        <v>48390.61</v>
      </c>
      <c r="Q10" s="89">
        <f>SUM(P10/E10)</f>
        <v/>
      </c>
      <c r="R10" s="260" t="n">
        <v>7801.96</v>
      </c>
      <c r="S10" s="89">
        <f>SUM(R10/E10)</f>
        <v/>
      </c>
      <c r="T10" s="130" t="n">
        <v>4830.5</v>
      </c>
      <c r="U10" s="26" t="n"/>
    </row>
    <row r="11" ht="15.6" customHeight="1">
      <c r="A11" s="409" t="inlineStr">
        <is>
          <t>Eagles Landing</t>
        </is>
      </c>
      <c r="B11" s="200">
        <f>'6 - 12 Dec'!E11</f>
        <v/>
      </c>
      <c r="C11" s="73" t="n">
        <v>311404.3</v>
      </c>
      <c r="D11" s="145" t="n">
        <v>284781.13</v>
      </c>
      <c r="E11" s="269" t="n">
        <v>234819.58</v>
      </c>
      <c r="F11" s="145" t="n">
        <v>714482.46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834</v>
      </c>
      <c r="K11" s="63">
        <f>IFERROR(E11/J11,0)</f>
        <v/>
      </c>
      <c r="L11" s="61" t="n">
        <v>43</v>
      </c>
      <c r="M11" s="28">
        <f>IFERROR(L11/J11,0)</f>
        <v/>
      </c>
      <c r="N11" s="46">
        <f>L11+'15 - 21 Nov'!L11+'22 - 28 Nov'!L11+'29 Nov - 5 Dec'!L11+'6 - 12 Dec'!L11</f>
        <v/>
      </c>
      <c r="O11" s="172">
        <f>IFERROR(N11/SUM(J11),0)</f>
        <v/>
      </c>
      <c r="P11" s="260" t="n">
        <v>43393.54</v>
      </c>
      <c r="Q11" s="89">
        <f>SUM(P11/E11)</f>
        <v/>
      </c>
      <c r="R11" s="260" t="n">
        <v>26982.61</v>
      </c>
      <c r="S11" s="89">
        <f>SUM(R11/E11)</f>
        <v/>
      </c>
      <c r="T11" s="130" t="n">
        <v>12690.6</v>
      </c>
      <c r="U11" s="26" t="n"/>
    </row>
    <row r="12" ht="15.6" customHeight="1">
      <c r="A12" s="198" t="inlineStr">
        <is>
          <t>Stellenbosch</t>
        </is>
      </c>
      <c r="B12" s="200">
        <f>'6 - 12 Dec'!E12</f>
        <v/>
      </c>
      <c r="C12" s="73" t="n">
        <v>149883.34</v>
      </c>
      <c r="D12" s="145" t="n">
        <v>105426.19</v>
      </c>
      <c r="E12" s="269" t="n">
        <v>124306.15</v>
      </c>
      <c r="F12" s="145" t="n">
        <v>358877.4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30</v>
      </c>
      <c r="M12" s="28">
        <f>IFERROR(L12/J12,0)</f>
        <v/>
      </c>
      <c r="N12" s="46">
        <f>L12+'15 - 21 Nov'!L12+'22 - 28 Nov'!L12+'29 Nov - 5 Dec'!L12+'6 - 12 Dec'!L12</f>
        <v/>
      </c>
      <c r="O12" s="172">
        <f>IFERROR(N12/SUM(J12),0)</f>
        <v/>
      </c>
      <c r="P12" s="260" t="n">
        <v>29461.35</v>
      </c>
      <c r="Q12" s="89">
        <f>SUM(P12/E12)</f>
        <v/>
      </c>
      <c r="R12" s="260" t="n">
        <v>9266.52</v>
      </c>
      <c r="S12" s="89">
        <f>SUM(R12/E12)</f>
        <v/>
      </c>
      <c r="T12" s="130" t="n">
        <v>6381.5</v>
      </c>
      <c r="U12" s="26" t="n"/>
    </row>
    <row r="13" ht="15.6" customHeight="1">
      <c r="A13" s="198" t="inlineStr">
        <is>
          <t>Lynnwood</t>
        </is>
      </c>
      <c r="B13" s="200">
        <f>'6 - 12 Dec'!E13</f>
        <v/>
      </c>
      <c r="C13" s="73" t="n">
        <v>199187.93</v>
      </c>
      <c r="D13" s="145" t="n">
        <v>192989.24</v>
      </c>
      <c r="E13" s="269" t="n">
        <v>192364.64</v>
      </c>
      <c r="F13" s="145" t="n">
        <v>571861.88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669</v>
      </c>
      <c r="K13" s="63">
        <f>IFERROR(E13/J13,0)</f>
        <v/>
      </c>
      <c r="L13" s="61" t="n">
        <v>58</v>
      </c>
      <c r="M13" s="28">
        <f>IFERROR(L13/J13,0)</f>
        <v/>
      </c>
      <c r="N13" s="46">
        <f>L13+'15 - 21 Nov'!L13+'22 - 28 Nov'!L13+'29 Nov - 5 Dec'!L13+'6 - 12 Dec'!L13</f>
        <v/>
      </c>
      <c r="O13" s="172">
        <f>IFERROR(N13/SUM(J13),0)</f>
        <v/>
      </c>
      <c r="P13" s="260" t="n">
        <v>36435.35</v>
      </c>
      <c r="Q13" s="89">
        <f>SUM(P13/E13)</f>
        <v/>
      </c>
      <c r="R13" s="260" t="n">
        <v>25760.48</v>
      </c>
      <c r="S13" s="89">
        <f>SUM(R13/E13)</f>
        <v/>
      </c>
      <c r="T13" s="130" t="n">
        <v>6667</v>
      </c>
      <c r="U13" s="26" t="n"/>
    </row>
    <row r="14" hidden="1" ht="15.6" customHeight="1">
      <c r="A14" s="198" t="inlineStr">
        <is>
          <t>Wellington</t>
        </is>
      </c>
      <c r="B14" s="200">
        <f>'6 - 12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'6 - 12 Dec'!E15</f>
        <v/>
      </c>
      <c r="C15" s="73" t="n">
        <v>721819.17</v>
      </c>
      <c r="D15" s="145" t="n">
        <v>415182.37</v>
      </c>
      <c r="E15" s="269" t="n">
        <v>547738.16</v>
      </c>
      <c r="F15" s="145" t="n">
        <v>1043459.38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1319</v>
      </c>
      <c r="K15" s="63">
        <f>IFERROR(E15/J15,0)</f>
        <v/>
      </c>
      <c r="L15" s="61" t="n">
        <v>5</v>
      </c>
      <c r="M15" s="28">
        <f>IFERROR(L15/J15,0)</f>
        <v/>
      </c>
      <c r="N15" s="46">
        <f>L15+'15 - 21 Nov'!L15+'22 - 28 Nov'!L15+'29 Nov - 5 Dec'!L15+'6 - 12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61769.13</v>
      </c>
      <c r="S15" s="89">
        <f>SUM(R15/E15)</f>
        <v/>
      </c>
      <c r="T15" s="130" t="n">
        <v>6748.3</v>
      </c>
      <c r="U15" s="9" t="n"/>
    </row>
    <row r="16" ht="15.6" customHeight="1">
      <c r="A16" s="198" t="inlineStr">
        <is>
          <t>Kyalami Corner</t>
        </is>
      </c>
      <c r="B16" s="200">
        <f>'6 - 12 Dec'!E16</f>
        <v/>
      </c>
      <c r="C16" s="73" t="n">
        <v>121137.18</v>
      </c>
      <c r="D16" s="145" t="n">
        <v>140278.5</v>
      </c>
      <c r="E16" s="269" t="n">
        <v>138069.95</v>
      </c>
      <c r="F16" s="145" t="n">
        <v>397543.61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517</v>
      </c>
      <c r="K16" s="63">
        <f>IFERROR(E16/J16,0)</f>
        <v/>
      </c>
      <c r="L16" s="61" t="n">
        <v>17</v>
      </c>
      <c r="M16" s="28">
        <f>IFERROR(L16/J16,0)</f>
        <v/>
      </c>
      <c r="N16" s="46">
        <f>L16+'15 - 21 Nov'!L16+'22 - 28 Nov'!L16+'29 Nov - 5 Dec'!L16+'6 - 12 Dec'!L16</f>
        <v/>
      </c>
      <c r="O16" s="172">
        <f>IFERROR(N16/SUM(J16),0)</f>
        <v/>
      </c>
      <c r="P16" s="260" t="n">
        <v>36174.65</v>
      </c>
      <c r="Q16" s="89">
        <f>SUM(P16/E16)</f>
        <v/>
      </c>
      <c r="R16" s="260" t="n">
        <v>30971.63</v>
      </c>
      <c r="S16" s="89">
        <f>SUM(R16/E16)</f>
        <v/>
      </c>
      <c r="T16" s="130" t="n">
        <v>6110.7</v>
      </c>
      <c r="U16" s="9" t="n"/>
      <c r="X16" s="238" t="n"/>
    </row>
    <row r="17" ht="15.6" customHeight="1">
      <c r="A17" s="198" t="inlineStr">
        <is>
          <t>Paulshof</t>
        </is>
      </c>
      <c r="B17" s="200">
        <f>'6 - 12 Dec'!E17</f>
        <v/>
      </c>
      <c r="C17" s="73" t="n">
        <v>210622.19</v>
      </c>
      <c r="D17" s="145" t="n">
        <v>167200.12</v>
      </c>
      <c r="E17" s="269" t="n">
        <v>169389.41</v>
      </c>
      <c r="F17" s="145" t="n">
        <v>483900.32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632</v>
      </c>
      <c r="K17" s="63">
        <f>IFERROR(E17/J17,0)</f>
        <v/>
      </c>
      <c r="L17" s="61" t="n">
        <v>34</v>
      </c>
      <c r="M17" s="28">
        <f>IFERROR(L17/J17,0)</f>
        <v/>
      </c>
      <c r="N17" s="46">
        <f>L17+'15 - 21 Nov'!L17+'22 - 28 Nov'!L17+'29 Nov - 5 Dec'!L17+'6 - 12 Dec'!L17</f>
        <v/>
      </c>
      <c r="O17" s="172">
        <f>IFERROR(N17/SUM(J17),0)</f>
        <v/>
      </c>
      <c r="P17" s="260" t="n">
        <v>27374.97</v>
      </c>
      <c r="Q17" s="89">
        <f>SUM(P17/E17)</f>
        <v/>
      </c>
      <c r="R17" s="260" t="n">
        <v>27243.26</v>
      </c>
      <c r="S17" s="89">
        <f>SUM(R17/E17)</f>
        <v/>
      </c>
      <c r="T17" s="130" t="n">
        <v>5145.4</v>
      </c>
      <c r="U17" s="9" t="n"/>
    </row>
    <row r="18" ht="15.6" customHeight="1">
      <c r="A18" s="198" t="inlineStr">
        <is>
          <t>Queenswood</t>
        </is>
      </c>
      <c r="B18" s="200">
        <f>'6 - 12 Dec'!E18</f>
        <v/>
      </c>
      <c r="C18" s="73" t="n">
        <v>157671.4</v>
      </c>
      <c r="D18" s="73" t="n">
        <v>150774.19</v>
      </c>
      <c r="E18" s="269" t="n">
        <v>170896.01</v>
      </c>
      <c r="F18" s="145" t="n">
        <v>488571.67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609</v>
      </c>
      <c r="K18" s="63">
        <f>IFERROR(E18/J18,0)</f>
        <v/>
      </c>
      <c r="L18" s="61" t="n">
        <v>91</v>
      </c>
      <c r="M18" s="28">
        <f>IFERROR(L18/J18,0)</f>
        <v/>
      </c>
      <c r="N18" s="46">
        <f>L18+'15 - 21 Nov'!L18+'22 - 28 Nov'!L18+'29 Nov - 5 Dec'!L18+'6 - 12 Dec'!L18</f>
        <v/>
      </c>
      <c r="O18" s="172">
        <f>IFERROR(N18/SUM(J18),0)</f>
        <v/>
      </c>
      <c r="P18" s="260" t="n">
        <v>37044.96</v>
      </c>
      <c r="Q18" s="89">
        <f>SUM(P18/E18)</f>
        <v/>
      </c>
      <c r="R18" s="260" t="n">
        <v>15452.39</v>
      </c>
      <c r="S18" s="89">
        <f>SUM(R18/E18)</f>
        <v/>
      </c>
      <c r="T18" s="130" t="n">
        <v>5683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2020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2020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'13 - 19 Dec'!E6</f>
        <v/>
      </c>
      <c r="C6" s="255" t="n">
        <v>251356.61</v>
      </c>
      <c r="D6" s="197" t="n">
        <v>153645.04</v>
      </c>
      <c r="E6" s="268" t="n">
        <v>198665.22</v>
      </c>
      <c r="F6" s="123" t="n">
        <v>872559.0600000001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608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</f>
        <v/>
      </c>
      <c r="O6" s="171">
        <f>IFERROR(N6/SUM(J6),0)</f>
        <v/>
      </c>
      <c r="P6" s="259" t="n">
        <v>32669.39</v>
      </c>
      <c r="Q6" s="128">
        <f>SUM(P6/E6)</f>
        <v/>
      </c>
      <c r="R6" s="260" t="n">
        <v>11260.83</v>
      </c>
      <c r="S6" s="128">
        <f>SUM(R6/E6)</f>
        <v/>
      </c>
      <c r="T6" s="129" t="n">
        <v>5784</v>
      </c>
      <c r="U6" s="26" t="n"/>
    </row>
    <row r="7" ht="15.6" customHeight="1">
      <c r="A7" s="409" t="inlineStr">
        <is>
          <t>Melrose Arch</t>
        </is>
      </c>
      <c r="B7" s="200">
        <f>'13 - 19 Dec'!E7</f>
        <v/>
      </c>
      <c r="C7" s="73" t="n">
        <v>285024.23</v>
      </c>
      <c r="D7" s="145" t="n">
        <v>250899.36</v>
      </c>
      <c r="E7" s="269" t="n">
        <v>355451.46</v>
      </c>
      <c r="F7" s="145" t="n">
        <v>1381409.34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944</v>
      </c>
      <c r="K7" s="63">
        <f>IFERROR(E7/J7,0)</f>
        <v/>
      </c>
      <c r="L7" s="61" t="n">
        <v>39</v>
      </c>
      <c r="M7" s="28">
        <f>IFERROR(L7/J7,0)</f>
        <v/>
      </c>
      <c r="N7" s="46">
        <f>L7+'15 - 21 Nov'!L7+'22 - 28 Nov'!L7+'29 Nov - 5 Dec'!L7+'6 - 12 Dec'!L7+'13 - 19 Dec'!L7</f>
        <v/>
      </c>
      <c r="O7" s="172">
        <f>IFERROR(N7/SUM(J7),0)</f>
        <v/>
      </c>
      <c r="P7" s="260" t="n">
        <v>25633.83</v>
      </c>
      <c r="Q7" s="89">
        <f>SUM(P7/E7)</f>
        <v/>
      </c>
      <c r="R7" s="260" t="n">
        <v>13194.35</v>
      </c>
      <c r="S7" s="89">
        <f>SUM(R7/E7)</f>
        <v/>
      </c>
      <c r="T7" s="130" t="n">
        <v>15673.59</v>
      </c>
      <c r="U7" s="26" t="n"/>
    </row>
    <row r="8" ht="15.6" customHeight="1">
      <c r="A8" s="409" t="inlineStr">
        <is>
          <t>Melville</t>
        </is>
      </c>
      <c r="B8" s="200">
        <f>'13 - 19 Dec'!E8</f>
        <v/>
      </c>
      <c r="C8" s="73" t="n">
        <v>47067.04</v>
      </c>
      <c r="D8" s="145" t="n">
        <v>54247.96</v>
      </c>
      <c r="E8" s="269" t="n">
        <v>101312.03</v>
      </c>
      <c r="F8" s="145" t="n">
        <v>471596.38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384</v>
      </c>
      <c r="K8" s="63">
        <f>IFERROR(E8/J8,0)</f>
        <v/>
      </c>
      <c r="L8" s="61" t="n">
        <v>19</v>
      </c>
      <c r="M8" s="28">
        <f>IFERROR(L8/J8,0)</f>
        <v/>
      </c>
      <c r="N8" s="46">
        <f>L8+'15 - 21 Nov'!L8+'22 - 28 Nov'!L8+'29 Nov - 5 Dec'!L8+'6 - 12 Dec'!L8+'13 - 19 Dec'!L8</f>
        <v/>
      </c>
      <c r="O8" s="172">
        <f>IFERROR(N8/SUM(J8),0)</f>
        <v/>
      </c>
      <c r="P8" s="260" t="n">
        <v>41433.75</v>
      </c>
      <c r="Q8" s="89">
        <f>SUM(P8/E8)</f>
        <v/>
      </c>
      <c r="R8" s="260" t="n">
        <v>13982.13</v>
      </c>
      <c r="S8" s="89">
        <f>SUM(R8/E8)</f>
        <v/>
      </c>
      <c r="T8" s="130" t="n">
        <v>3896.8</v>
      </c>
      <c r="U8" s="26" t="n"/>
    </row>
    <row r="9" ht="15.6" customHeight="1">
      <c r="A9" s="409" t="inlineStr">
        <is>
          <t>Rosebank</t>
        </is>
      </c>
      <c r="B9" s="200">
        <f>'13 - 19 Dec'!E9</f>
        <v/>
      </c>
      <c r="C9" s="73" t="n">
        <v>252630.01</v>
      </c>
      <c r="D9" s="145" t="n">
        <v>188195.54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'13 - 19 Dec'!E10</f>
        <v/>
      </c>
      <c r="C10" s="73" t="n">
        <v>89635.60000000001</v>
      </c>
      <c r="D10" s="145" t="n">
        <v>91596.78</v>
      </c>
      <c r="E10" s="269" t="n">
        <v>105459.75</v>
      </c>
      <c r="F10" s="145" t="n">
        <v>554093.47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352</v>
      </c>
      <c r="K10" s="63">
        <f>IFERROR(E10/J10,0)</f>
        <v/>
      </c>
      <c r="L10" s="61" t="n">
        <v>20</v>
      </c>
      <c r="M10" s="28">
        <f>IFERROR(L10/J10,0)</f>
        <v/>
      </c>
      <c r="N10" s="46">
        <f>L10+'15 - 21 Nov'!L10+'22 - 28 Nov'!L10+'29 Nov - 5 Dec'!L10+'6 - 12 Dec'!L10+'13 - 19 Dec'!L10</f>
        <v/>
      </c>
      <c r="O10" s="172">
        <f>IFERROR(N10/SUM(J10),0)</f>
        <v/>
      </c>
      <c r="P10" s="260" t="n">
        <v>30595.04</v>
      </c>
      <c r="Q10" s="89">
        <f>SUM(P10/E10)</f>
        <v/>
      </c>
      <c r="R10" s="260" t="n">
        <v>10066.13</v>
      </c>
      <c r="S10" s="89">
        <f>SUM(R10/E10)</f>
        <v/>
      </c>
      <c r="T10" s="130" t="n">
        <v>3251.5</v>
      </c>
      <c r="U10" s="26" t="n"/>
    </row>
    <row r="11" ht="15.6" customHeight="1">
      <c r="A11" s="409" t="inlineStr">
        <is>
          <t>Eagles Landing</t>
        </is>
      </c>
      <c r="B11" s="200">
        <f>'13 - 19 Dec'!E11</f>
        <v/>
      </c>
      <c r="C11" s="73" t="n">
        <v>234511.26</v>
      </c>
      <c r="D11" s="145" t="n">
        <v>201645.67</v>
      </c>
      <c r="E11" s="269" t="n">
        <v>181752.95</v>
      </c>
      <c r="F11" s="145" t="n">
        <v>896235.41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621</v>
      </c>
      <c r="K11" s="63">
        <f>IFERROR(E11/J11,0)</f>
        <v/>
      </c>
      <c r="L11" s="61" t="n">
        <v>71</v>
      </c>
      <c r="M11" s="28">
        <f>IFERROR(L11/J11,0)</f>
        <v/>
      </c>
      <c r="N11" s="46">
        <f>L11+'15 - 21 Nov'!L11+'22 - 28 Nov'!L11+'29 Nov - 5 Dec'!L11+'6 - 12 Dec'!L11+'13 - 19 Dec'!L11</f>
        <v/>
      </c>
      <c r="O11" s="172">
        <f>IFERROR(N11/SUM(J11),0)</f>
        <v/>
      </c>
      <c r="P11" s="260" t="n">
        <v>30618.17</v>
      </c>
      <c r="Q11" s="89">
        <f>SUM(P11/E11)</f>
        <v/>
      </c>
      <c r="R11" s="260" t="n">
        <v>20955.87</v>
      </c>
      <c r="S11" s="89">
        <f>SUM(R11/E11)</f>
        <v/>
      </c>
      <c r="T11" s="130" t="n">
        <v>8093.25</v>
      </c>
      <c r="U11" s="26" t="n"/>
    </row>
    <row r="12" ht="15.6" customHeight="1">
      <c r="A12" s="198" t="inlineStr">
        <is>
          <t>Stellenbosch</t>
        </is>
      </c>
      <c r="B12" s="200">
        <f>'13 - 19 Dec'!E12</f>
        <v/>
      </c>
      <c r="C12" s="73" t="n">
        <v>128991.96</v>
      </c>
      <c r="D12" s="145" t="n">
        <v>79915.53</v>
      </c>
      <c r="E12" s="269" t="n">
        <v>92137.78</v>
      </c>
      <c r="F12" s="145" t="n">
        <v>451015.18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324</v>
      </c>
      <c r="K12" s="63">
        <f>IFERROR(E12/J12,0)</f>
        <v/>
      </c>
      <c r="L12" s="61" t="n">
        <v>46</v>
      </c>
      <c r="M12" s="28">
        <f>IFERROR(L12/J12,0)</f>
        <v/>
      </c>
      <c r="N12" s="46">
        <f>L12+'15 - 21 Nov'!L12+'22 - 28 Nov'!L12+'29 Nov - 5 Dec'!L12+'6 - 12 Dec'!L12+'13 - 19 Dec'!L12</f>
        <v/>
      </c>
      <c r="O12" s="172">
        <f>IFERROR(N12/SUM(J12),0)</f>
        <v/>
      </c>
      <c r="P12" s="260" t="n">
        <v>16225.13</v>
      </c>
      <c r="Q12" s="89">
        <f>SUM(P12/E12)</f>
        <v/>
      </c>
      <c r="R12" s="260" t="n">
        <v>7594.78</v>
      </c>
      <c r="S12" s="89">
        <f>SUM(R12/E12)</f>
        <v/>
      </c>
      <c r="T12" s="130" t="n">
        <v>5442.5</v>
      </c>
      <c r="U12" s="26" t="n"/>
    </row>
    <row r="13" ht="15.6" customHeight="1">
      <c r="A13" s="198" t="inlineStr">
        <is>
          <t>Lynnwood</t>
        </is>
      </c>
      <c r="B13" s="200">
        <f>'13 - 19 Dec'!E13</f>
        <v/>
      </c>
      <c r="C13" s="73" t="n">
        <v>128106.26</v>
      </c>
      <c r="D13" s="145" t="n">
        <v>126657.65</v>
      </c>
      <c r="E13" s="269" t="n">
        <v>131166</v>
      </c>
      <c r="F13" s="145" t="n">
        <v>703027.88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459</v>
      </c>
      <c r="K13" s="63">
        <f>IFERROR(E13/J13,0)</f>
        <v/>
      </c>
      <c r="L13" s="61" t="n">
        <v>49</v>
      </c>
      <c r="M13" s="28">
        <f>IFERROR(L13/J13,0)</f>
        <v/>
      </c>
      <c r="N13" s="46">
        <f>L13+'15 - 21 Nov'!L13+'22 - 28 Nov'!L13+'29 Nov - 5 Dec'!L13+'6 - 12 Dec'!L13+'13 - 19 Dec'!L13</f>
        <v/>
      </c>
      <c r="O13" s="172">
        <f>IFERROR(N13/SUM(J13),0)</f>
        <v/>
      </c>
      <c r="P13" s="260" t="n">
        <v>21979</v>
      </c>
      <c r="Q13" s="89">
        <f>SUM(P13/E13)</f>
        <v/>
      </c>
      <c r="R13" s="260" t="n">
        <v>14615.78</v>
      </c>
      <c r="S13" s="89">
        <f>SUM(R13/E13)</f>
        <v/>
      </c>
      <c r="T13" s="130" t="n">
        <v>2835.5</v>
      </c>
      <c r="U13" s="26" t="n"/>
    </row>
    <row r="14" hidden="1" ht="15.6" customHeight="1">
      <c r="A14" s="198" t="inlineStr">
        <is>
          <t>Wellington</t>
        </is>
      </c>
      <c r="B14" s="200">
        <f>'13 - 19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'13 - 19 Dec'!E15</f>
        <v/>
      </c>
      <c r="C15" s="73" t="n">
        <v>845642.47</v>
      </c>
      <c r="D15" s="145" t="n">
        <v>544494.12</v>
      </c>
      <c r="E15" s="269" t="n">
        <v>823747.6800000001</v>
      </c>
      <c r="F15" s="145" t="n">
        <v>1867207.06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2524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85266.09</v>
      </c>
      <c r="S15" s="89">
        <f>SUM(R15/E15)</f>
        <v/>
      </c>
      <c r="T15" s="130" t="n">
        <v>9770.799999999999</v>
      </c>
      <c r="U15" s="9" t="n"/>
    </row>
    <row r="16" ht="15.6" customHeight="1">
      <c r="A16" s="198" t="inlineStr">
        <is>
          <t>Kyalami Corner</t>
        </is>
      </c>
      <c r="B16" s="200">
        <f>'13 - 19 Dec'!E16</f>
        <v/>
      </c>
      <c r="C16" s="73" t="n">
        <v>72195.61</v>
      </c>
      <c r="D16" s="145" t="n">
        <v>90716.7</v>
      </c>
      <c r="E16" s="269" t="n">
        <v>113375.82</v>
      </c>
      <c r="F16" s="145" t="n">
        <v>510919.43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380</v>
      </c>
      <c r="K16" s="63">
        <f>IFERROR(E16/J16,0)</f>
        <v/>
      </c>
      <c r="L16" s="61" t="n">
        <v>22</v>
      </c>
      <c r="M16" s="28">
        <f>IFERROR(L16/J16,0)</f>
        <v/>
      </c>
      <c r="N16" s="46">
        <f>L16+'15 - 21 Nov'!L16+'22 - 28 Nov'!L16+'29 Nov - 5 Dec'!L16+'6 - 12 Dec'!L16+'13 - 19 Dec'!L16</f>
        <v/>
      </c>
      <c r="O16" s="172">
        <f>IFERROR(N16/SUM(J16),0)</f>
        <v/>
      </c>
      <c r="P16" s="260" t="n">
        <v>28512.9</v>
      </c>
      <c r="Q16" s="89">
        <f>SUM(P16/E16)</f>
        <v/>
      </c>
      <c r="R16" s="260" t="n">
        <v>19458.48</v>
      </c>
      <c r="S16" s="89">
        <f>SUM(R16/E16)</f>
        <v/>
      </c>
      <c r="T16" s="130" t="n">
        <v>2807.8</v>
      </c>
      <c r="U16" s="9" t="n"/>
      <c r="X16" s="238" t="n"/>
    </row>
    <row r="17" ht="15.6" customHeight="1">
      <c r="A17" s="198" t="inlineStr">
        <is>
          <t>Paulshof</t>
        </is>
      </c>
      <c r="B17" s="200">
        <f>'13 - 19 Dec'!E17</f>
        <v/>
      </c>
      <c r="C17" s="73" t="n">
        <v>123472.58</v>
      </c>
      <c r="D17" s="145" t="n">
        <v>95656.3</v>
      </c>
      <c r="E17" s="269" t="n">
        <v>133738.32</v>
      </c>
      <c r="F17" s="145" t="n">
        <v>617638.34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494</v>
      </c>
      <c r="K17" s="63">
        <f>IFERROR(E17/J17,0)</f>
        <v/>
      </c>
      <c r="L17" s="61" t="n">
        <v>36</v>
      </c>
      <c r="M17" s="28">
        <f>IFERROR(L17/J17,0)</f>
        <v/>
      </c>
      <c r="N17" s="46">
        <f>L17+'15 - 21 Nov'!L17+'22 - 28 Nov'!L17+'29 Nov - 5 Dec'!L17+'6 - 12 Dec'!L17+'13 - 19 Dec'!L17</f>
        <v/>
      </c>
      <c r="O17" s="172">
        <f>IFERROR(N17/SUM(J17),0)</f>
        <v/>
      </c>
      <c r="P17" s="260" t="n">
        <v>20973.48</v>
      </c>
      <c r="Q17" s="89">
        <f>SUM(P17/E17)</f>
        <v/>
      </c>
      <c r="R17" s="260" t="n">
        <v>15394.16</v>
      </c>
      <c r="S17" s="89">
        <f>SUM(R17/E17)</f>
        <v/>
      </c>
      <c r="T17" s="130" t="n">
        <v>6555.75</v>
      </c>
      <c r="U17" s="9" t="n"/>
    </row>
    <row r="18" ht="15.6" customHeight="1">
      <c r="A18" s="198" t="inlineStr">
        <is>
          <t>Queenswood</t>
        </is>
      </c>
      <c r="B18" s="200">
        <f>'13 - 19 Dec'!E18</f>
        <v/>
      </c>
      <c r="C18" s="73" t="n">
        <v>133520.31</v>
      </c>
      <c r="D18" s="73" t="n">
        <v>110233.85</v>
      </c>
      <c r="E18" s="269" t="n">
        <v>111902.84</v>
      </c>
      <c r="F18" s="145" t="n">
        <v>600474.51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429</v>
      </c>
      <c r="K18" s="63">
        <f>IFERROR(E18/J18,0)</f>
        <v/>
      </c>
      <c r="L18" s="61" t="n">
        <v>78</v>
      </c>
      <c r="M18" s="28">
        <f>IFERROR(L18/J18,0)</f>
        <v/>
      </c>
      <c r="N18" s="46">
        <f>L18+'15 - 21 Nov'!L18+'22 - 28 Nov'!L18+'29 Nov - 5 Dec'!L18+'6 - 12 Dec'!L18+'13 - 19 Dec'!L18</f>
        <v/>
      </c>
      <c r="O18" s="172">
        <f>IFERROR(N18/SUM(J18),0)</f>
        <v/>
      </c>
      <c r="P18" s="260" t="n">
        <v>20238.94</v>
      </c>
      <c r="Q18" s="89">
        <f>SUM(P18/E18)</f>
        <v/>
      </c>
      <c r="R18" s="260" t="n">
        <v>7191.39</v>
      </c>
      <c r="S18" s="89">
        <f>SUM(R18/E18)</f>
        <v/>
      </c>
      <c r="T18" s="130" t="n">
        <v>2761.5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'20 - 26 Dec'!E6</f>
        <v/>
      </c>
      <c r="C6" s="255" t="n">
        <v>276666.88</v>
      </c>
      <c r="D6" s="197" t="n">
        <v>102807.09</v>
      </c>
      <c r="E6" s="268" t="n">
        <v>212769.56</v>
      </c>
      <c r="F6" s="123" t="n">
        <v>44588.23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664</v>
      </c>
      <c r="K6" s="63">
        <f>IFERROR(E6/J6,0)</f>
        <v/>
      </c>
      <c r="L6" s="125" t="n">
        <v>40</v>
      </c>
      <c r="M6" s="126">
        <f>IFERROR(L6/J6,0)</f>
        <v/>
      </c>
      <c r="N6" s="46">
        <f>L6+'15 - 21 Nov'!L6+'22 - 28 Nov'!L6+'29 Nov - 5 Dec'!L6+'6 - 12 Dec'!L6+'13 - 19 Dec'!L6+'20 - 26 Dec'!L6</f>
        <v/>
      </c>
      <c r="O6" s="171">
        <f>IFERROR(N6/SUM(J6),0)</f>
        <v/>
      </c>
      <c r="P6" s="259" t="n">
        <v>33729.52</v>
      </c>
      <c r="Q6" s="128">
        <f>SUM(P6/E6)</f>
        <v/>
      </c>
      <c r="R6" s="260" t="n">
        <v>4208.57</v>
      </c>
      <c r="S6" s="128">
        <f>SUM(R6/E6)</f>
        <v/>
      </c>
      <c r="T6" s="129" t="n">
        <v>7622.95</v>
      </c>
      <c r="U6" s="26" t="n"/>
    </row>
    <row r="7" ht="15.6" customHeight="1">
      <c r="A7" s="409" t="inlineStr">
        <is>
          <t>Melrose Arch</t>
        </is>
      </c>
      <c r="B7" s="200">
        <f>'20 - 26 Dec'!E7</f>
        <v/>
      </c>
      <c r="C7" s="73" t="n">
        <v>266740.18</v>
      </c>
      <c r="D7" s="145" t="n">
        <v>106626.3</v>
      </c>
      <c r="E7" s="269" t="n">
        <v>294055.23</v>
      </c>
      <c r="F7" s="145" t="n">
        <v>87051.52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875</v>
      </c>
      <c r="K7" s="63">
        <f>IFERROR(E7/J7,0)</f>
        <v/>
      </c>
      <c r="L7" s="61" t="n">
        <v>24</v>
      </c>
      <c r="M7" s="28">
        <f>IFERROR(L7/J7,0)</f>
        <v/>
      </c>
      <c r="N7" s="46">
        <f>L7+'15 - 21 Nov'!L7+'22 - 28 Nov'!L7+'29 Nov - 5 Dec'!L7+'6 - 12 Dec'!L7+'13 - 19 Dec'!L7+'20 - 26 Dec'!L7</f>
        <v/>
      </c>
      <c r="O7" s="172">
        <f>IFERROR(N7/SUM(J7),0)</f>
        <v/>
      </c>
      <c r="P7" s="260" t="n">
        <v>32977.33</v>
      </c>
      <c r="Q7" s="89">
        <f>SUM(P7/E7)</f>
        <v/>
      </c>
      <c r="R7" s="260" t="n">
        <v>10703.48</v>
      </c>
      <c r="S7" s="89">
        <f>SUM(R7/E7)</f>
        <v/>
      </c>
      <c r="T7" s="130" t="n">
        <v>14600.55</v>
      </c>
      <c r="U7" s="26" t="n"/>
    </row>
    <row r="8" ht="15.6" customHeight="1">
      <c r="A8" s="409" t="inlineStr">
        <is>
          <t>Melville</t>
        </is>
      </c>
      <c r="B8" s="200">
        <f>'20 - 26 Dec'!E8</f>
        <v/>
      </c>
      <c r="C8" s="73" t="n">
        <v>67999.53</v>
      </c>
      <c r="D8" s="145" t="n">
        <v>49292.77</v>
      </c>
      <c r="E8" s="269" t="n">
        <v>92659.32000000001</v>
      </c>
      <c r="F8" s="145" t="n">
        <v>17205.31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342</v>
      </c>
      <c r="K8" s="63">
        <f>IFERROR(E8/J8,0)</f>
        <v/>
      </c>
      <c r="L8" s="61" t="n">
        <v>10</v>
      </c>
      <c r="M8" s="28">
        <f>IFERROR(L8/J8,0)</f>
        <v/>
      </c>
      <c r="N8" s="46">
        <f>L8+'15 - 21 Nov'!L8+'22 - 28 Nov'!L8+'29 Nov - 5 Dec'!L8+'6 - 12 Dec'!L8+'13 - 19 Dec'!L8+'20 - 26 Dec'!L8</f>
        <v/>
      </c>
      <c r="O8" s="172">
        <f>IFERROR(N8/SUM(J8),0)</f>
        <v/>
      </c>
      <c r="P8" s="260" t="n">
        <v>39476.03</v>
      </c>
      <c r="Q8" s="89">
        <f>SUM(P8/E8)</f>
        <v/>
      </c>
      <c r="R8" s="260" t="n">
        <v>10380.29</v>
      </c>
      <c r="S8" s="89">
        <f>SUM(R8/E8)</f>
        <v/>
      </c>
      <c r="T8" s="130" t="n">
        <v>2781.5</v>
      </c>
      <c r="U8" s="26" t="n"/>
    </row>
    <row r="9" ht="15.6" customHeight="1">
      <c r="A9" s="409" t="inlineStr">
        <is>
          <t>Rosebank</t>
        </is>
      </c>
      <c r="B9" s="200">
        <f>'20 - 26 Dec'!E9</f>
        <v/>
      </c>
      <c r="C9" s="73" t="n">
        <v>305260.75</v>
      </c>
      <c r="D9" s="145" t="n">
        <v>130613.75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'20 - 26 Dec'!E10</f>
        <v/>
      </c>
      <c r="C10" s="73" t="n">
        <v>112210.71</v>
      </c>
      <c r="D10" s="145" t="n">
        <v>72961.5</v>
      </c>
      <c r="E10" s="269" t="n">
        <v>146695.37</v>
      </c>
      <c r="F10" s="145" t="n">
        <v>58427.2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448</v>
      </c>
      <c r="K10" s="63">
        <f>IFERROR(E10/J10,0)</f>
        <v/>
      </c>
      <c r="L10" s="61" t="n">
        <v>13</v>
      </c>
      <c r="M10" s="28">
        <f>IFERROR(L10/J10,0)</f>
        <v/>
      </c>
      <c r="N10" s="46">
        <f>L10+'15 - 21 Nov'!L10+'22 - 28 Nov'!L10+'29 Nov - 5 Dec'!L10+'6 - 12 Dec'!L10+'13 - 19 Dec'!L10+'20 - 26 Dec'!L10</f>
        <v/>
      </c>
      <c r="O10" s="172">
        <f>IFERROR(N10/SUM(J10),0)</f>
        <v/>
      </c>
      <c r="P10" s="260" t="n">
        <v>48429.87</v>
      </c>
      <c r="Q10" s="89">
        <f>SUM(P10/E10)</f>
        <v/>
      </c>
      <c r="R10" s="260" t="n">
        <v>12680.61</v>
      </c>
      <c r="S10" s="89">
        <f>SUM(R10/E10)</f>
        <v/>
      </c>
      <c r="T10" s="130" t="n">
        <v>2862</v>
      </c>
      <c r="U10" s="26" t="n"/>
    </row>
    <row r="11" ht="15.6" customHeight="1">
      <c r="A11" s="409" t="inlineStr">
        <is>
          <t>Eagles Landing</t>
        </is>
      </c>
      <c r="B11" s="200">
        <f>'20 - 26 Dec'!E11</f>
        <v/>
      </c>
      <c r="C11" s="73" t="n">
        <v>259688.15</v>
      </c>
      <c r="D11" s="145" t="n">
        <v>122773.19</v>
      </c>
      <c r="E11" s="269" t="n">
        <v>169474.37</v>
      </c>
      <c r="F11" s="145" t="n">
        <v>35653.48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583</v>
      </c>
      <c r="K11" s="63">
        <f>IFERROR(E11/J11,0)</f>
        <v/>
      </c>
      <c r="L11" s="61" t="n">
        <v>30</v>
      </c>
      <c r="M11" s="28">
        <f>IFERROR(L11/J11,0)</f>
        <v/>
      </c>
      <c r="N11" s="46">
        <f>L11+'15 - 21 Nov'!L11+'22 - 28 Nov'!L11+'29 Nov - 5 Dec'!L11+'6 - 12 Dec'!L11+'13 - 19 Dec'!L11+'20 - 26 Dec'!L11</f>
        <v/>
      </c>
      <c r="O11" s="172">
        <f>IFERROR(N11/SUM(J11),0)</f>
        <v/>
      </c>
      <c r="P11" s="260" t="n">
        <v>28580.17</v>
      </c>
      <c r="Q11" s="89">
        <f>SUM(P11/E11)</f>
        <v/>
      </c>
      <c r="R11" s="260" t="n">
        <v>20105.87</v>
      </c>
      <c r="S11" s="89">
        <f>SUM(R11/E11)</f>
        <v/>
      </c>
      <c r="T11" s="130" t="n">
        <v>8083.7</v>
      </c>
      <c r="U11" s="26" t="n"/>
    </row>
    <row r="12" ht="15.6" customHeight="1">
      <c r="A12" s="198" t="inlineStr">
        <is>
          <t>Stellenbosch</t>
        </is>
      </c>
      <c r="B12" s="200">
        <f>'20 - 26 Dec'!E12</f>
        <v/>
      </c>
      <c r="C12" s="73" t="n">
        <v>172759.05</v>
      </c>
      <c r="D12" s="145" t="n">
        <v>76971.94</v>
      </c>
      <c r="E12" s="269" t="n">
        <v>118160.63</v>
      </c>
      <c r="F12" s="145" t="n">
        <v>37603.54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365</v>
      </c>
      <c r="K12" s="63">
        <f>IFERROR(E12/J12,0)</f>
        <v/>
      </c>
      <c r="L12" s="61" t="n">
        <v>52</v>
      </c>
      <c r="M12" s="28">
        <f>IFERROR(L12/J12,0)</f>
        <v/>
      </c>
      <c r="N12" s="46">
        <f>L12+'15 - 21 Nov'!L12+'22 - 28 Nov'!L12+'29 Nov - 5 Dec'!L12+'6 - 12 Dec'!L12+'13 - 19 Dec'!L12+'20 - 26 Dec'!L12</f>
        <v/>
      </c>
      <c r="O12" s="172">
        <f>IFERROR(N12/SUM(J12),0)</f>
        <v/>
      </c>
      <c r="P12" s="260" t="n">
        <v>18650.63</v>
      </c>
      <c r="Q12" s="89">
        <f>SUM(P12/E12)</f>
        <v/>
      </c>
      <c r="R12" s="260" t="n">
        <v>13025.65</v>
      </c>
      <c r="S12" s="89">
        <f>SUM(R12/E12)</f>
        <v/>
      </c>
      <c r="T12" s="130" t="n">
        <v>8990.5</v>
      </c>
      <c r="U12" s="26" t="n"/>
    </row>
    <row r="13" ht="15.6" customHeight="1">
      <c r="A13" s="198" t="inlineStr">
        <is>
          <t>Lynnwood</t>
        </is>
      </c>
      <c r="B13" s="200">
        <f>'20 - 26 Dec'!E13</f>
        <v/>
      </c>
      <c r="C13" s="73" t="n">
        <v>155712.35</v>
      </c>
      <c r="D13" s="145" t="n">
        <v>105150.61</v>
      </c>
      <c r="E13" s="269" t="n">
        <v>159471.69</v>
      </c>
      <c r="F13" s="145" t="n">
        <v>38748.09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558</v>
      </c>
      <c r="K13" s="63">
        <f>IFERROR(E13/J13,0)</f>
        <v/>
      </c>
      <c r="L13" s="61" t="n">
        <v>59</v>
      </c>
      <c r="M13" s="28">
        <f>IFERROR(L13/J13,0)</f>
        <v/>
      </c>
      <c r="N13" s="46">
        <f>L13+'15 - 21 Nov'!L13+'22 - 28 Nov'!L13+'29 Nov - 5 Dec'!L13+'6 - 12 Dec'!L13+'13 - 19 Dec'!L13+'20 - 26 Dec'!L13</f>
        <v/>
      </c>
      <c r="O13" s="172">
        <f>IFERROR(N13/SUM(J13),0)</f>
        <v/>
      </c>
      <c r="P13" s="260" t="n">
        <v>18329.43</v>
      </c>
      <c r="Q13" s="89">
        <f>SUM(P13/E13)</f>
        <v/>
      </c>
      <c r="R13" s="260" t="n">
        <v>18034.17</v>
      </c>
      <c r="S13" s="89">
        <f>SUM(R13/E13)</f>
        <v/>
      </c>
      <c r="T13" s="130" t="n">
        <v>4709.5</v>
      </c>
      <c r="U13" s="26" t="n"/>
    </row>
    <row r="14" hidden="1" ht="15.6" customHeight="1">
      <c r="A14" s="198" t="inlineStr">
        <is>
          <t>Wellington</t>
        </is>
      </c>
      <c r="B14" s="200">
        <f>'20 - 26 Dec'!E14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'20 - 26 Dec'!E15</f>
        <v/>
      </c>
      <c r="C15" s="73" t="n">
        <v>877892.3100000001</v>
      </c>
      <c r="D15" s="145" t="n">
        <v>528430.3</v>
      </c>
      <c r="E15" s="269" t="n">
        <v>1157280.81</v>
      </c>
      <c r="F15" s="145" t="n">
        <v>343432.1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3787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139794.09</v>
      </c>
      <c r="S15" s="89">
        <f>SUM(R15/E15)</f>
        <v/>
      </c>
      <c r="T15" s="130" t="n">
        <v>16864.85</v>
      </c>
      <c r="U15" s="9" t="n"/>
    </row>
    <row r="16" ht="15.6" customHeight="1">
      <c r="A16" s="198" t="inlineStr">
        <is>
          <t>Kyalami Corner</t>
        </is>
      </c>
      <c r="B16" s="200">
        <f>'20 - 26 Dec'!E16</f>
        <v/>
      </c>
      <c r="C16" s="73" t="n">
        <v>104178.02</v>
      </c>
      <c r="D16" s="145" t="n">
        <v>63938.09</v>
      </c>
      <c r="E16" s="269" t="n">
        <v>117099.44</v>
      </c>
      <c r="F16" s="145" t="n">
        <v>40728.46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435</v>
      </c>
      <c r="K16" s="63">
        <f>IFERROR(E16/J16,0)</f>
        <v/>
      </c>
      <c r="L16" s="61" t="n">
        <v>28</v>
      </c>
      <c r="M16" s="28">
        <f>IFERROR(L16/J16,0)</f>
        <v/>
      </c>
      <c r="N16" s="46">
        <f>L16+'15 - 21 Nov'!L16+'22 - 28 Nov'!L16+'29 Nov - 5 Dec'!L16+'6 - 12 Dec'!L16+'13 - 19 Dec'!L16+'20 - 26 Dec'!L16</f>
        <v/>
      </c>
      <c r="O16" s="172">
        <f>IFERROR(N16/SUM(J16),0)</f>
        <v/>
      </c>
      <c r="P16" s="260" t="n">
        <v>28085.83</v>
      </c>
      <c r="Q16" s="89">
        <f>SUM(P16/E16)</f>
        <v/>
      </c>
      <c r="R16" s="260" t="n">
        <v>22485.27</v>
      </c>
      <c r="S16" s="89">
        <f>SUM(R16/E16)</f>
        <v/>
      </c>
      <c r="T16" s="130" t="n">
        <v>3193.05</v>
      </c>
      <c r="U16" s="9" t="n"/>
      <c r="X16" s="238" t="n"/>
    </row>
    <row r="17" ht="15.6" customHeight="1">
      <c r="A17" s="198" t="inlineStr">
        <is>
          <t>Paulshof</t>
        </is>
      </c>
      <c r="B17" s="200">
        <f>'20 - 26 Dec'!E17</f>
        <v/>
      </c>
      <c r="C17" s="73" t="n">
        <v>153893.73</v>
      </c>
      <c r="D17" s="145" t="n">
        <v>79557.17</v>
      </c>
      <c r="E17" s="269" t="n">
        <v>143974.76</v>
      </c>
      <c r="F17" s="145" t="n">
        <v>44089.3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489</v>
      </c>
      <c r="K17" s="63">
        <f>IFERROR(E17/J17,0)</f>
        <v/>
      </c>
      <c r="L17" s="61" t="n">
        <v>20</v>
      </c>
      <c r="M17" s="28">
        <f>IFERROR(L17/J17,0)</f>
        <v/>
      </c>
      <c r="N17" s="46">
        <f>L17+'15 - 21 Nov'!L17+'22 - 28 Nov'!L17+'29 Nov - 5 Dec'!L17+'6 - 12 Dec'!L17+'13 - 19 Dec'!L17+'20 - 26 Dec'!L17</f>
        <v/>
      </c>
      <c r="O17" s="172">
        <f>IFERROR(N17/SUM(J17),0)</f>
        <v/>
      </c>
      <c r="P17" s="260" t="n">
        <v>22512.13</v>
      </c>
      <c r="Q17" s="89">
        <f>SUM(P17/E17)</f>
        <v/>
      </c>
      <c r="R17" s="260" t="n">
        <v>18948.83</v>
      </c>
      <c r="S17" s="89">
        <f>SUM(R17/E17)</f>
        <v/>
      </c>
      <c r="T17" s="130" t="n">
        <v>4091</v>
      </c>
      <c r="U17" s="9" t="n"/>
    </row>
    <row r="18" ht="15.6" customHeight="1">
      <c r="A18" s="198" t="inlineStr">
        <is>
          <t>Queenswood</t>
        </is>
      </c>
      <c r="B18" s="200">
        <f>'20 - 26 Dec'!E18</f>
        <v/>
      </c>
      <c r="C18" s="73" t="n">
        <v>194529.92</v>
      </c>
      <c r="D18" s="73" t="n">
        <v>103042.11</v>
      </c>
      <c r="E18" s="269" t="n">
        <v>148687.25</v>
      </c>
      <c r="F18" s="145" t="n">
        <v>53945.5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565</v>
      </c>
      <c r="K18" s="63">
        <f>IFERROR(E18/J18,0)</f>
        <v/>
      </c>
      <c r="L18" s="61" t="n">
        <v>49</v>
      </c>
      <c r="M18" s="28">
        <f>IFERROR(L18/J18,0)</f>
        <v/>
      </c>
      <c r="N18" s="46">
        <f>L18+'15 - 21 Nov'!L18+'22 - 28 Nov'!L18+'29 Nov - 5 Dec'!L18+'6 - 12 Dec'!L18+'13 - 19 Dec'!L18+'20 - 26 Dec'!L18</f>
        <v/>
      </c>
      <c r="O18" s="172">
        <f>IFERROR(N18/SUM(J18),0)</f>
        <v/>
      </c>
      <c r="P18" s="260" t="n">
        <v>30915.46</v>
      </c>
      <c r="Q18" s="89">
        <f>SUM(P18/E18)</f>
        <v/>
      </c>
      <c r="R18" s="260" t="n">
        <v>18492.39</v>
      </c>
      <c r="S18" s="89">
        <f>SUM(R18/E18)</f>
        <v/>
      </c>
      <c r="T18" s="130" t="n">
        <v>4796.5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'27 Dec - 2 Jan 2022'!E6</f>
        <v/>
      </c>
      <c r="C6" s="255" t="n">
        <v>296675.38</v>
      </c>
      <c r="D6" s="197" t="n">
        <v>132428.34</v>
      </c>
      <c r="E6" s="268" t="n">
        <v>269770.01</v>
      </c>
      <c r="F6" s="123" t="n">
        <v>314358.24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828</v>
      </c>
      <c r="K6" s="63">
        <f>IFERROR(E6/J6,0)</f>
        <v/>
      </c>
      <c r="L6" s="125" t="n">
        <v>73</v>
      </c>
      <c r="M6" s="126">
        <f>IFERROR(L6/J6,0)</f>
        <v/>
      </c>
      <c r="N6" s="46">
        <f>L6+'15 - 21 Nov'!L6+'22 - 28 Nov'!L6+'29 Nov - 5 Dec'!L6+'6 - 12 Dec'!L6+'13 - 19 Dec'!L6+'20 - 26 Dec'!L6+'27 Dec - 2 Jan 2022'!L6</f>
        <v/>
      </c>
      <c r="O6" s="171">
        <f>IFERROR(N6/SUM(J6),0)</f>
        <v/>
      </c>
      <c r="P6" s="259" t="n">
        <v>47094.26</v>
      </c>
      <c r="Q6" s="128">
        <f>SUM(P6/E6)</f>
        <v/>
      </c>
      <c r="R6" s="260" t="n">
        <v>6306.78</v>
      </c>
      <c r="S6" s="128">
        <f>SUM(R6/E6)</f>
        <v/>
      </c>
      <c r="T6" s="129" t="n">
        <v>8086</v>
      </c>
      <c r="U6" s="26" t="n"/>
    </row>
    <row r="7" ht="15.6" customHeight="1">
      <c r="A7" s="409" t="inlineStr">
        <is>
          <t>Melrose Arch</t>
        </is>
      </c>
      <c r="B7" s="200">
        <f>'27 Dec - 2 Jan 2022'!E7</f>
        <v/>
      </c>
      <c r="C7" s="73" t="n">
        <v>198130.76</v>
      </c>
      <c r="D7" s="145" t="n">
        <v>83309.19</v>
      </c>
      <c r="E7" s="269" t="n">
        <v>219749.59</v>
      </c>
      <c r="F7" s="145" t="n">
        <v>306801.11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</f>
        <v/>
      </c>
      <c r="O7" s="172">
        <f>IFERROR(N7/SUM(J7),0)</f>
        <v/>
      </c>
      <c r="P7" s="260" t="n">
        <v>38471.43</v>
      </c>
      <c r="Q7" s="89">
        <f>SUM(P7/E7)</f>
        <v/>
      </c>
      <c r="R7" s="260" t="n">
        <v>8744</v>
      </c>
      <c r="S7" s="89">
        <f>SUM(R7/E7)</f>
        <v/>
      </c>
      <c r="T7" s="130" t="n">
        <v>7197.3</v>
      </c>
      <c r="U7" s="26" t="n"/>
    </row>
    <row r="8" ht="15.6" customHeight="1">
      <c r="A8" s="409" t="inlineStr">
        <is>
          <t>Melville</t>
        </is>
      </c>
      <c r="B8" s="200">
        <f>'27 Dec - 2 Jan 2022'!E8</f>
        <v/>
      </c>
      <c r="C8" s="73" t="n">
        <v>81968.13</v>
      </c>
      <c r="D8" s="145" t="n">
        <v>52090.83</v>
      </c>
      <c r="E8" s="269" t="n">
        <v>118823.03</v>
      </c>
      <c r="F8" s="145" t="n">
        <v>136028.34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470</v>
      </c>
      <c r="K8" s="63">
        <f>IFERROR(E8/J8,0)</f>
        <v/>
      </c>
      <c r="L8" s="61" t="n">
        <v>28</v>
      </c>
      <c r="M8" s="28">
        <f>IFERROR(L8/J8,0)</f>
        <v/>
      </c>
      <c r="N8" s="46">
        <f>L8+'15 - 21 Nov'!L8+'22 - 28 Nov'!L8+'29 Nov - 5 Dec'!L8+'6 - 12 Dec'!L8+'13 - 19 Dec'!L8+'20 - 26 Dec'!L8+'27 Dec - 2 Jan 2022'!L8</f>
        <v/>
      </c>
      <c r="O8" s="172">
        <f>IFERROR(N8/SUM(J8),0)</f>
        <v/>
      </c>
      <c r="P8" s="260" t="n">
        <v>56365.7</v>
      </c>
      <c r="Q8" s="89">
        <f>SUM(P8/E8)</f>
        <v/>
      </c>
      <c r="R8" s="260" t="n">
        <v>15476.35</v>
      </c>
      <c r="S8" s="89">
        <f>SUM(R8/E8)</f>
        <v/>
      </c>
      <c r="T8" s="130" t="n">
        <v>3444.85</v>
      </c>
      <c r="U8" s="26" t="n"/>
    </row>
    <row r="9" ht="15.6" customHeight="1">
      <c r="A9" s="409" t="inlineStr">
        <is>
          <t>Rosebank</t>
        </is>
      </c>
      <c r="B9" s="200">
        <f>'27 Dec - 2 Jan 2022'!E9</f>
        <v/>
      </c>
      <c r="C9" s="73" t="n">
        <v>287972.86</v>
      </c>
      <c r="D9" s="145" t="n">
        <v>114208.02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'27 Dec - 2 Jan 2022'!E10</f>
        <v/>
      </c>
      <c r="C10" s="73" t="n">
        <v>132580.56</v>
      </c>
      <c r="D10" s="145" t="n">
        <v>81183.02</v>
      </c>
      <c r="E10" s="269" t="n">
        <v>133729.15</v>
      </c>
      <c r="F10" s="145" t="n">
        <v>192156.35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460</v>
      </c>
      <c r="K10" s="63">
        <f>IFERROR(E10/J10,0)</f>
        <v/>
      </c>
      <c r="L10" s="61" t="n">
        <v>34</v>
      </c>
      <c r="M10" s="28">
        <f>IFERROR(L10/J10,0)</f>
        <v/>
      </c>
      <c r="N10" s="46">
        <f>L10+'15 - 21 Nov'!L10+'22 - 28 Nov'!L10+'29 Nov - 5 Dec'!L10+'6 - 12 Dec'!L10+'13 - 19 Dec'!L10+'20 - 26 Dec'!L10+'27 Dec - 2 Jan 2022'!L10</f>
        <v/>
      </c>
      <c r="O10" s="172">
        <f>IFERROR(N10/SUM(J10),0)</f>
        <v/>
      </c>
      <c r="P10" s="260" t="n">
        <v>43552.61</v>
      </c>
      <c r="Q10" s="89">
        <f>SUM(P10/E10)</f>
        <v/>
      </c>
      <c r="R10" s="260" t="n">
        <v>8638.83</v>
      </c>
      <c r="S10" s="89">
        <f>SUM(R10/E10)</f>
        <v/>
      </c>
      <c r="T10" s="130" t="n">
        <v>5364</v>
      </c>
      <c r="U10" s="26" t="n"/>
    </row>
    <row r="11" ht="15.6" customHeight="1">
      <c r="A11" s="409" t="inlineStr">
        <is>
          <t>Eagles Landing</t>
        </is>
      </c>
      <c r="B11" s="200">
        <f>'27 Dec - 2 Jan 2022'!E11</f>
        <v/>
      </c>
      <c r="C11" s="73" t="n">
        <v>330215.89</v>
      </c>
      <c r="D11" s="145" t="n">
        <v>157552.23</v>
      </c>
      <c r="E11" s="269" t="n">
        <v>233137.87</v>
      </c>
      <c r="F11" s="145" t="n">
        <v>268791.35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783</v>
      </c>
      <c r="K11" s="63">
        <f>IFERROR(E11/J11,0)</f>
        <v/>
      </c>
      <c r="L11" s="61" t="n">
        <v>100</v>
      </c>
      <c r="M11" s="28">
        <f>IFERROR(L11/J11,0)</f>
        <v/>
      </c>
      <c r="N11" s="46">
        <f>L11+'15 - 21 Nov'!L11+'22 - 28 Nov'!L11+'29 Nov - 5 Dec'!L11+'6 - 12 Dec'!L11+'13 - 19 Dec'!L11+'20 - 26 Dec'!L11+'27 Dec - 2 Jan 2022'!L11</f>
        <v/>
      </c>
      <c r="O11" s="172">
        <f>IFERROR(N11/SUM(J11),0)</f>
        <v/>
      </c>
      <c r="P11" s="260" t="n">
        <v>42009.83</v>
      </c>
      <c r="Q11" s="89">
        <f>SUM(P11/E11)</f>
        <v/>
      </c>
      <c r="R11" s="260" t="n">
        <v>26714.35</v>
      </c>
      <c r="S11" s="89">
        <f>SUM(R11/E11)</f>
        <v/>
      </c>
      <c r="T11" s="130" t="n">
        <v>5713.1</v>
      </c>
      <c r="U11" s="26" t="n"/>
    </row>
    <row r="12" ht="15.6" customHeight="1">
      <c r="A12" s="198" t="inlineStr">
        <is>
          <t>Stellenbosch</t>
        </is>
      </c>
      <c r="B12" s="200">
        <f>'27 Dec - 2 Jan 2022'!E12</f>
        <v/>
      </c>
      <c r="C12" s="73" t="n">
        <v>132864.84</v>
      </c>
      <c r="D12" s="145" t="n">
        <v>67869.49000000001</v>
      </c>
      <c r="E12" s="269" t="n">
        <v>116710.34</v>
      </c>
      <c r="F12" s="145" t="n">
        <v>154313.88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415</v>
      </c>
      <c r="K12" s="63">
        <f>IFERROR(E12/J12,0)</f>
        <v/>
      </c>
      <c r="L12" s="61" t="n">
        <v>68</v>
      </c>
      <c r="M12" s="28">
        <f>IFERROR(L12/J12,0)</f>
        <v/>
      </c>
      <c r="N12" s="46">
        <f>L12+'15 - 21 Nov'!L12+'22 - 28 Nov'!L12+'29 Nov - 5 Dec'!L12+'6 - 12 Dec'!L12+'13 - 19 Dec'!L12+'20 - 26 Dec'!L12+'27 Dec - 2 Jan 2022'!L12</f>
        <v/>
      </c>
      <c r="O12" s="172">
        <f>IFERROR(N12/SUM(J12),0)</f>
        <v/>
      </c>
      <c r="P12" s="260" t="n">
        <v>16846.65</v>
      </c>
      <c r="Q12" s="89">
        <f>SUM(P12/E12)</f>
        <v/>
      </c>
      <c r="R12" s="260" t="n">
        <v>12528.85</v>
      </c>
      <c r="S12" s="89">
        <f>SUM(R12/E12)</f>
        <v/>
      </c>
      <c r="T12" s="130" t="n">
        <v>4908.5</v>
      </c>
      <c r="U12" s="26" t="n"/>
    </row>
    <row r="13" ht="15.6" customHeight="1">
      <c r="A13" s="198" t="inlineStr">
        <is>
          <t>Lynnwood</t>
        </is>
      </c>
      <c r="B13" s="200">
        <f>'27 Dec - 2 Jan 2022'!E13</f>
        <v/>
      </c>
      <c r="C13" s="73" t="n">
        <v>219689.71</v>
      </c>
      <c r="D13" s="145" t="n">
        <v>111534.91</v>
      </c>
      <c r="E13" s="269" t="n">
        <v>194743.68</v>
      </c>
      <c r="F13" s="145" t="n">
        <v>233491.77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668</v>
      </c>
      <c r="K13" s="63">
        <f>IFERROR(E13/J13,0)</f>
        <v/>
      </c>
      <c r="L13" s="61" t="n">
        <v>62</v>
      </c>
      <c r="M13" s="28">
        <f>IFERROR(L13/J13,0)</f>
        <v/>
      </c>
      <c r="N13" s="46">
        <f>L13+'15 - 21 Nov'!L13+'22 - 28 Nov'!L13+'29 Nov - 5 Dec'!L13+'6 - 12 Dec'!L13+'13 - 19 Dec'!L13+'20 - 26 Dec'!L13+'27 Dec - 2 Jan 2022'!L13</f>
        <v/>
      </c>
      <c r="O13" s="172">
        <f>IFERROR(N13/SUM(J13),0)</f>
        <v/>
      </c>
      <c r="P13" s="260" t="n">
        <v>33217.63</v>
      </c>
      <c r="Q13" s="89">
        <f>SUM(P13/E13)</f>
        <v/>
      </c>
      <c r="R13" s="260" t="n">
        <v>20688.17</v>
      </c>
      <c r="S13" s="89">
        <f>SUM(R13/E13)</f>
        <v/>
      </c>
      <c r="T13" s="130" t="n">
        <v>5875</v>
      </c>
      <c r="U13" s="26" t="n"/>
    </row>
    <row r="14" hidden="1" ht="15.6" customHeight="1">
      <c r="A14" s="198" t="inlineStr">
        <is>
          <t>Wellington</t>
        </is>
      </c>
      <c r="B14" s="200">
        <f>'27 Dec - 2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'27 Dec - 2 Jan 2022'!E15</f>
        <v/>
      </c>
      <c r="C15" s="73" t="n">
        <v>440887.85</v>
      </c>
      <c r="D15" s="145" t="n">
        <v>285822.7</v>
      </c>
      <c r="E15" s="269" t="n">
        <v>721790.35</v>
      </c>
      <c r="F15" s="145" t="n">
        <v>1065222.45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2090</v>
      </c>
      <c r="K15" s="63">
        <f>IFERROR(E15/J15,0)</f>
        <v/>
      </c>
      <c r="L15" s="61" t="n">
        <v>0</v>
      </c>
      <c r="M15" s="28">
        <f>IFERROR(L15/J15,0)</f>
        <v/>
      </c>
      <c r="N15" s="46">
        <f>L15+'15 - 21 Nov'!L15+'22 - 28 Nov'!L15+'29 Nov - 5 Dec'!L15+'6 - 12 Dec'!L15+'13 - 19 Dec'!L15+'20 - 26 Dec'!L15+'27 Dec - 2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91842.61</v>
      </c>
      <c r="S15" s="89">
        <f>SUM(R15/E15)</f>
        <v/>
      </c>
      <c r="T15" s="130" t="n">
        <v>1826</v>
      </c>
      <c r="U15" s="9" t="n"/>
    </row>
    <row r="16" ht="15.6" customHeight="1">
      <c r="A16" s="198" t="inlineStr">
        <is>
          <t>Kyalami Corner</t>
        </is>
      </c>
      <c r="B16" s="200">
        <f>'27 Dec - 2 Jan 2022'!E16</f>
        <v/>
      </c>
      <c r="C16" s="73" t="n">
        <v>115805.88</v>
      </c>
      <c r="D16" s="145" t="n">
        <v>67752.66</v>
      </c>
      <c r="E16" s="269" t="n">
        <v>135626.71</v>
      </c>
      <c r="F16" s="145" t="n">
        <v>176355.17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520</v>
      </c>
      <c r="K16" s="63">
        <f>IFERROR(E16/J16,0)</f>
        <v/>
      </c>
      <c r="L16" s="61" t="n">
        <v>20</v>
      </c>
      <c r="M16" s="28">
        <f>IFERROR(L16/J16,0)</f>
        <v/>
      </c>
      <c r="N16" s="46">
        <f>L16+'15 - 21 Nov'!L16+'22 - 28 Nov'!L16+'29 Nov - 5 Dec'!L16+'6 - 12 Dec'!L16+'13 - 19 Dec'!L16+'20 - 26 Dec'!L16+'27 Dec - 2 Jan 2022'!L16</f>
        <v/>
      </c>
      <c r="O16" s="172">
        <f>IFERROR(N16/SUM(J16),0)</f>
        <v/>
      </c>
      <c r="P16" s="260" t="n">
        <v>34314</v>
      </c>
      <c r="Q16" s="89">
        <f>SUM(P16/E16)</f>
        <v/>
      </c>
      <c r="R16" s="260" t="n">
        <v>24966.24</v>
      </c>
      <c r="S16" s="89">
        <f>SUM(R16/E16)</f>
        <v/>
      </c>
      <c r="T16" s="130" t="n">
        <v>5415.8</v>
      </c>
      <c r="U16" s="9" t="n"/>
      <c r="X16" s="238" t="n"/>
    </row>
    <row r="17" ht="15.6" customHeight="1">
      <c r="A17" s="198" t="inlineStr">
        <is>
          <t>Paulshof</t>
        </is>
      </c>
      <c r="B17" s="200">
        <f>'27 Dec - 2 Jan 2022'!E17</f>
        <v/>
      </c>
      <c r="C17" s="73" t="n">
        <v>208806.41</v>
      </c>
      <c r="D17" s="145" t="n">
        <v>89115.75</v>
      </c>
      <c r="E17" s="269" t="n">
        <v>150418.67</v>
      </c>
      <c r="F17" s="145" t="n">
        <v>194507.97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584</v>
      </c>
      <c r="K17" s="63">
        <f>IFERROR(E17/J17,0)</f>
        <v/>
      </c>
      <c r="L17" s="61" t="n">
        <v>67</v>
      </c>
      <c r="M17" s="28">
        <f>IFERROR(L17/J17,0)</f>
        <v/>
      </c>
      <c r="N17" s="46">
        <f>L17+'15 - 21 Nov'!L17+'22 - 28 Nov'!L17+'29 Nov - 5 Dec'!L17+'6 - 12 Dec'!L17+'13 - 19 Dec'!L17+'20 - 26 Dec'!L17+'27 Dec - 2 Jan 2022'!L17</f>
        <v/>
      </c>
      <c r="O17" s="172">
        <f>IFERROR(N17/SUM(J17),0)</f>
        <v/>
      </c>
      <c r="P17" s="260" t="n">
        <v>25458.03</v>
      </c>
      <c r="Q17" s="89">
        <f>SUM(P17/E17)</f>
        <v/>
      </c>
      <c r="R17" s="260" t="n">
        <v>23749.96</v>
      </c>
      <c r="S17" s="89">
        <f>SUM(R17/E17)</f>
        <v/>
      </c>
      <c r="T17" s="130" t="n">
        <v>7761.5</v>
      </c>
      <c r="U17" s="9" t="n"/>
    </row>
    <row r="18" ht="15.6" customHeight="1">
      <c r="A18" s="198" t="inlineStr">
        <is>
          <t>Queenswood</t>
        </is>
      </c>
      <c r="B18" s="200">
        <f>'27 Dec - 2 Jan 2022'!E18</f>
        <v/>
      </c>
      <c r="C18" s="73" t="n">
        <v>176711.97</v>
      </c>
      <c r="D18" s="73" t="n">
        <v>96251.57000000001</v>
      </c>
      <c r="E18" s="269" t="n">
        <v>151507.38</v>
      </c>
      <c r="F18" s="145" t="n">
        <v>205452.88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592</v>
      </c>
      <c r="K18" s="63">
        <f>IFERROR(E18/J18,0)</f>
        <v/>
      </c>
      <c r="L18" s="61" t="n">
        <v>82</v>
      </c>
      <c r="M18" s="28">
        <f>IFERROR(L18/J18,0)</f>
        <v/>
      </c>
      <c r="N18" s="46">
        <f>L18+'15 - 21 Nov'!L18+'22 - 28 Nov'!L18+'29 Nov - 5 Dec'!L18+'6 - 12 Dec'!L18+'13 - 19 Dec'!L18+'20 - 26 Dec'!L18+'27 Dec - 2 Jan 2022'!L18</f>
        <v/>
      </c>
      <c r="O18" s="172">
        <f>IFERROR(N18/SUM(J18),0)</f>
        <v/>
      </c>
      <c r="P18" s="260" t="n">
        <v>25138</v>
      </c>
      <c r="Q18" s="89">
        <f>SUM(P18/E18)</f>
        <v/>
      </c>
      <c r="R18" s="260" t="n">
        <v>19476.46</v>
      </c>
      <c r="S18" s="89">
        <f>SUM(R18/E18)</f>
        <v/>
      </c>
      <c r="T18" s="130" t="n">
        <v>3838.5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'3 - 9 Jan 2022'!E6</f>
        <v/>
      </c>
      <c r="C6" s="255" t="n">
        <v>249678.67</v>
      </c>
      <c r="D6" s="197" t="n">
        <v>102020.09</v>
      </c>
      <c r="E6" s="268" t="n">
        <v>215802.15</v>
      </c>
      <c r="F6" s="123" t="n">
        <v>530160.39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697</v>
      </c>
      <c r="K6" s="63">
        <f>IFERROR(E6/J6,0)</f>
        <v/>
      </c>
      <c r="L6" s="125" t="n">
        <v>41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</f>
        <v/>
      </c>
      <c r="O6" s="171">
        <f>IFERROR(N6/SUM(J6),0)</f>
        <v/>
      </c>
      <c r="P6" s="259" t="n">
        <v>33017.35</v>
      </c>
      <c r="Q6" s="128">
        <f>SUM(P6/E6)</f>
        <v/>
      </c>
      <c r="R6" s="260" t="n">
        <v>9189.48</v>
      </c>
      <c r="S6" s="128">
        <f>SUM(R6/E6)</f>
        <v/>
      </c>
      <c r="T6" s="129" t="n">
        <v>6350.5</v>
      </c>
      <c r="U6" s="26" t="n"/>
    </row>
    <row r="7" ht="15.6" customHeight="1">
      <c r="A7" s="409" t="inlineStr">
        <is>
          <t>Melrose Arch</t>
        </is>
      </c>
      <c r="B7" s="200">
        <f>'3 - 9 Jan 2022'!E7</f>
        <v/>
      </c>
      <c r="C7" s="73" t="n">
        <v>184174.36</v>
      </c>
      <c r="D7" s="145" t="n">
        <v>73159.12</v>
      </c>
      <c r="E7" s="269" t="n">
        <v>181705.05</v>
      </c>
      <c r="F7" s="145" t="n">
        <v>488506.16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668</v>
      </c>
      <c r="K7" s="63">
        <f>IFERROR(E7/J7,0)</f>
        <v/>
      </c>
      <c r="L7" s="61" t="n">
        <v>52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</f>
        <v/>
      </c>
      <c r="O7" s="172">
        <f>IFERROR(N7/SUM(J7),0)</f>
        <v/>
      </c>
      <c r="P7" s="260" t="n">
        <v>32806.96</v>
      </c>
      <c r="Q7" s="89">
        <f>SUM(P7/E7)</f>
        <v/>
      </c>
      <c r="R7" s="260" t="n">
        <v>15385.22</v>
      </c>
      <c r="S7" s="89">
        <f>SUM(R7/E7)</f>
        <v/>
      </c>
      <c r="T7" s="130" t="n">
        <v>8798.799999999999</v>
      </c>
      <c r="U7" s="26" t="n"/>
    </row>
    <row r="8" ht="15.6" customHeight="1">
      <c r="A8" s="409" t="inlineStr">
        <is>
          <t>Melville</t>
        </is>
      </c>
      <c r="B8" s="200">
        <f>'3 - 9 Jan 2022'!E8</f>
        <v/>
      </c>
      <c r="C8" s="73" t="n">
        <v>92094.41</v>
      </c>
      <c r="D8" s="145" t="n">
        <v>56114.02</v>
      </c>
      <c r="E8" s="269" t="n">
        <v>121229.64</v>
      </c>
      <c r="F8" s="145" t="n">
        <v>257257.98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457</v>
      </c>
      <c r="K8" s="63">
        <f>IFERROR(E8/J8,0)</f>
        <v/>
      </c>
      <c r="L8" s="61" t="n">
        <v>25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</f>
        <v/>
      </c>
      <c r="O8" s="172">
        <f>IFERROR(N8/SUM(J8),0)</f>
        <v/>
      </c>
      <c r="P8" s="260" t="n">
        <v>61978.87</v>
      </c>
      <c r="Q8" s="89">
        <f>SUM(P8/E8)</f>
        <v/>
      </c>
      <c r="R8" s="260" t="n">
        <v>15767.48</v>
      </c>
      <c r="S8" s="89">
        <f>SUM(R8/E8)</f>
        <v/>
      </c>
      <c r="T8" s="130" t="n">
        <v>3991</v>
      </c>
      <c r="U8" s="26" t="n"/>
    </row>
    <row r="9" ht="15.6" customHeight="1">
      <c r="A9" s="409" t="inlineStr">
        <is>
          <t>Rosebank</t>
        </is>
      </c>
      <c r="B9" s="200">
        <f>'3 - 9 Jan 2022'!E9</f>
        <v/>
      </c>
      <c r="C9" s="73" t="n">
        <v>282534.18</v>
      </c>
      <c r="D9" s="145" t="n">
        <v>108730.35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'3 - 9 Jan 2022'!E10</f>
        <v/>
      </c>
      <c r="C10" s="73" t="n">
        <v>160577.06</v>
      </c>
      <c r="D10" s="145" t="n">
        <v>77116.8</v>
      </c>
      <c r="E10" s="269" t="n">
        <v>143258.26</v>
      </c>
      <c r="F10" s="145" t="n">
        <v>335414.61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476</v>
      </c>
      <c r="K10" s="63">
        <f>IFERROR(E10/J10,0)</f>
        <v/>
      </c>
      <c r="L10" s="61" t="n">
        <v>33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</f>
        <v/>
      </c>
      <c r="O10" s="172">
        <f>IFERROR(N10/SUM(J10),0)</f>
        <v/>
      </c>
      <c r="P10" s="260" t="n">
        <v>56338</v>
      </c>
      <c r="Q10" s="89">
        <f>SUM(P10/E10)</f>
        <v/>
      </c>
      <c r="R10" s="260" t="n">
        <v>5357.65</v>
      </c>
      <c r="S10" s="89">
        <f>SUM(R10/E10)</f>
        <v/>
      </c>
      <c r="T10" s="130" t="n">
        <v>5171.2</v>
      </c>
      <c r="U10" s="26" t="n"/>
    </row>
    <row r="11" ht="15.6" customHeight="1">
      <c r="A11" s="409" t="inlineStr">
        <is>
          <t>Eagles Landing</t>
        </is>
      </c>
      <c r="B11" s="200">
        <f>'3 - 9 Jan 2022'!E11</f>
        <v/>
      </c>
      <c r="C11" s="73" t="n">
        <v>287900.99</v>
      </c>
      <c r="D11" s="145" t="n">
        <v>157715.56</v>
      </c>
      <c r="E11" s="269" t="n">
        <v>224244.36</v>
      </c>
      <c r="F11" s="145" t="n">
        <v>493035.71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817</v>
      </c>
      <c r="K11" s="63">
        <f>IFERROR(E11/J11,0)</f>
        <v/>
      </c>
      <c r="L11" s="61" t="n">
        <v>91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</f>
        <v/>
      </c>
      <c r="O11" s="172">
        <f>IFERROR(N11/SUM(J11),0)</f>
        <v/>
      </c>
      <c r="P11" s="260" t="n">
        <v>36671.13</v>
      </c>
      <c r="Q11" s="89">
        <f>SUM(P11/E11)</f>
        <v/>
      </c>
      <c r="R11" s="260" t="n">
        <v>23923.74</v>
      </c>
      <c r="S11" s="89">
        <f>SUM(R11/E11)</f>
        <v/>
      </c>
      <c r="T11" s="130" t="n">
        <v>11528.5</v>
      </c>
      <c r="U11" s="26" t="n"/>
    </row>
    <row r="12" ht="15.6" customHeight="1">
      <c r="A12" s="198" t="inlineStr">
        <is>
          <t>Stellenbosch</t>
        </is>
      </c>
      <c r="B12" s="200">
        <f>'3 - 9 Jan 2022'!E12</f>
        <v/>
      </c>
      <c r="C12" s="73" t="n">
        <v>167794.96</v>
      </c>
      <c r="D12" s="145" t="n">
        <v>55044.09</v>
      </c>
      <c r="E12" s="269" t="n">
        <v>120604.29</v>
      </c>
      <c r="F12" s="145" t="n">
        <v>274918.17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436</v>
      </c>
      <c r="K12" s="63">
        <f>IFERROR(E12/J12,0)</f>
        <v/>
      </c>
      <c r="L12" s="61" t="n">
        <v>51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</f>
        <v/>
      </c>
      <c r="O12" s="172">
        <f>IFERROR(N12/SUM(J12),0)</f>
        <v/>
      </c>
      <c r="P12" s="260" t="n">
        <v>16260.52</v>
      </c>
      <c r="Q12" s="89">
        <f>SUM(P12/E12)</f>
        <v/>
      </c>
      <c r="R12" s="260" t="n">
        <v>12832.83</v>
      </c>
      <c r="S12" s="89">
        <f>SUM(R12/E12)</f>
        <v/>
      </c>
      <c r="T12" s="130" t="n">
        <v>8292</v>
      </c>
      <c r="U12" s="26" t="n"/>
    </row>
    <row r="13" ht="15.6" customHeight="1">
      <c r="A13" s="198" t="inlineStr">
        <is>
          <t>Lynnwood</t>
        </is>
      </c>
      <c r="B13" s="200">
        <f>'3 - 9 Jan 2022'!E13</f>
        <v/>
      </c>
      <c r="C13" s="73" t="n">
        <v>173601.74</v>
      </c>
      <c r="D13" s="145" t="n">
        <v>118995.01</v>
      </c>
      <c r="E13" s="269" t="n">
        <v>200323.25</v>
      </c>
      <c r="F13" s="145" t="n">
        <v>433815.02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695</v>
      </c>
      <c r="K13" s="63">
        <f>IFERROR(E13/J13,0)</f>
        <v/>
      </c>
      <c r="L13" s="61" t="n">
        <v>100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</f>
        <v/>
      </c>
      <c r="O13" s="172">
        <f>IFERROR(N13/SUM(J13),0)</f>
        <v/>
      </c>
      <c r="P13" s="260" t="n">
        <v>32517</v>
      </c>
      <c r="Q13" s="89">
        <f>SUM(P13/E13)</f>
        <v/>
      </c>
      <c r="R13" s="260" t="n">
        <v>21823.78</v>
      </c>
      <c r="S13" s="89">
        <f>SUM(R13/E13)</f>
        <v/>
      </c>
      <c r="T13" s="130" t="n">
        <v>6707</v>
      </c>
      <c r="U13" s="26" t="n"/>
    </row>
    <row r="14" hidden="1" ht="15.6" customHeight="1">
      <c r="A14" s="198" t="inlineStr">
        <is>
          <t>Wellington</t>
        </is>
      </c>
      <c r="B14" s="200">
        <f>'3 - 9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'3 - 9 Jan 2022'!E15</f>
        <v/>
      </c>
      <c r="C15" s="73" t="n">
        <v>187166.99</v>
      </c>
      <c r="D15" s="145" t="n">
        <v>138269.18</v>
      </c>
      <c r="E15" s="269" t="n">
        <v>341457.44</v>
      </c>
      <c r="F15" s="145" t="n">
        <v>1406679.89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1077</v>
      </c>
      <c r="K15" s="63">
        <f>IFERROR(E15/J15,0)</f>
        <v/>
      </c>
      <c r="L15" s="61" t="n">
        <v>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36234.35</v>
      </c>
      <c r="S15" s="89">
        <f>SUM(R15/E15)</f>
        <v/>
      </c>
      <c r="T15" s="130" t="n">
        <v>1881.9</v>
      </c>
      <c r="U15" s="9" t="n"/>
    </row>
    <row r="16" ht="15.6" customHeight="1">
      <c r="A16" s="198" t="inlineStr">
        <is>
          <t>Kyalami Corner</t>
        </is>
      </c>
      <c r="B16" s="200">
        <f>'3 - 9 Jan 2022'!E16</f>
        <v/>
      </c>
      <c r="C16" s="73" t="n">
        <v>114412.28</v>
      </c>
      <c r="D16" s="145" t="n">
        <v>60443.66</v>
      </c>
      <c r="E16" s="269" t="n">
        <v>119757.44</v>
      </c>
      <c r="F16" s="145" t="n">
        <v>296112.61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495</v>
      </c>
      <c r="K16" s="63">
        <f>IFERROR(E16/J16,0)</f>
        <v/>
      </c>
      <c r="L16" s="61" t="n">
        <v>29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</f>
        <v/>
      </c>
      <c r="O16" s="172">
        <f>IFERROR(N16/SUM(J16),0)</f>
        <v/>
      </c>
      <c r="P16" s="260" t="n">
        <v>30504.37</v>
      </c>
      <c r="Q16" s="89">
        <f>SUM(P16/E16)</f>
        <v/>
      </c>
      <c r="R16" s="260" t="n">
        <v>21225.43</v>
      </c>
      <c r="S16" s="89">
        <f>SUM(R16/E16)</f>
        <v/>
      </c>
      <c r="T16" s="130" t="n">
        <v>5234.5</v>
      </c>
      <c r="U16" s="9" t="n"/>
      <c r="X16" s="238" t="n"/>
    </row>
    <row r="17" ht="15.6" customHeight="1">
      <c r="A17" s="198" t="inlineStr">
        <is>
          <t>Paulshof</t>
        </is>
      </c>
      <c r="B17" s="200">
        <f>'3 - 9 Jan 2022'!E17</f>
        <v/>
      </c>
      <c r="C17" s="73" t="n">
        <v>173816.25</v>
      </c>
      <c r="D17" s="145" t="n">
        <v>83735.3</v>
      </c>
      <c r="E17" s="269" t="n">
        <v>151945.85</v>
      </c>
      <c r="F17" s="145" t="n">
        <v>346453.82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613</v>
      </c>
      <c r="K17" s="63">
        <f>IFERROR(E17/J17,0)</f>
        <v/>
      </c>
      <c r="L17" s="61" t="n">
        <v>42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</f>
        <v/>
      </c>
      <c r="O17" s="172">
        <f>IFERROR(N17/SUM(J17),0)</f>
        <v/>
      </c>
      <c r="P17" s="260" t="n">
        <v>32449.77</v>
      </c>
      <c r="Q17" s="89">
        <f>SUM(P17/E17)</f>
        <v/>
      </c>
      <c r="R17" s="260" t="n">
        <v>18878.74</v>
      </c>
      <c r="S17" s="89">
        <f>SUM(R17/E17)</f>
        <v/>
      </c>
      <c r="T17" s="130" t="n">
        <v>6698.5</v>
      </c>
      <c r="U17" s="9" t="n"/>
    </row>
    <row r="18" ht="15.6" customHeight="1">
      <c r="A18" s="198" t="inlineStr">
        <is>
          <t>Queenswood</t>
        </is>
      </c>
      <c r="B18" s="200">
        <f>'3 - 9 Jan 2022'!E18</f>
        <v/>
      </c>
      <c r="C18" s="73" t="n">
        <v>172665.54</v>
      </c>
      <c r="D18" s="73" t="n">
        <v>106413.03</v>
      </c>
      <c r="E18" s="269" t="n">
        <v>159101.62</v>
      </c>
      <c r="F18" s="145" t="n">
        <v>364554.5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625</v>
      </c>
      <c r="K18" s="63">
        <f>IFERROR(E18/J18,0)</f>
        <v/>
      </c>
      <c r="L18" s="61" t="n">
        <v>103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</f>
        <v/>
      </c>
      <c r="O18" s="172">
        <f>IFERROR(N18/SUM(J18),0)</f>
        <v/>
      </c>
      <c r="P18" s="260" t="n">
        <v>27348.59</v>
      </c>
      <c r="Q18" s="89">
        <f>SUM(P18/E18)</f>
        <v/>
      </c>
      <c r="R18" s="260" t="n">
        <v>15720.26</v>
      </c>
      <c r="S18" s="89">
        <f>SUM(R18/E18)</f>
        <v/>
      </c>
      <c r="T18" s="130" t="n">
        <v>5705.5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'10 - 16 Jan 2022'!E6</f>
        <v/>
      </c>
      <c r="C6" s="255" t="n">
        <v>244971.94</v>
      </c>
      <c r="D6" s="197" t="n">
        <v>112369.07</v>
      </c>
      <c r="E6" s="268" t="n">
        <v>214627.76</v>
      </c>
      <c r="F6" s="123" t="n">
        <v>744788.15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700</v>
      </c>
      <c r="K6" s="63">
        <f>IFERROR(E6/J6,0)</f>
        <v/>
      </c>
      <c r="L6" s="125" t="n">
        <v>42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</f>
        <v/>
      </c>
      <c r="O6" s="171">
        <f>IFERROR(N6/SUM(J6),0)</f>
        <v/>
      </c>
      <c r="P6" s="259" t="n">
        <v>37162.3</v>
      </c>
      <c r="Q6" s="128">
        <f>SUM(P6/E6)</f>
        <v/>
      </c>
      <c r="R6" s="260" t="n">
        <v>6840.09</v>
      </c>
      <c r="S6" s="128">
        <f>SUM(R6/E6)</f>
        <v/>
      </c>
      <c r="T6" s="129" t="n">
        <v>14341.5</v>
      </c>
      <c r="U6" s="26" t="n"/>
    </row>
    <row r="7" ht="15.6" customHeight="1">
      <c r="A7" s="409" t="inlineStr">
        <is>
          <t>Melrose Arch</t>
        </is>
      </c>
      <c r="B7" s="200">
        <f>'10 - 16 Jan 2022'!E7</f>
        <v/>
      </c>
      <c r="C7" s="73" t="n">
        <v>212211.86</v>
      </c>
      <c r="D7" s="145" t="n">
        <v>76215.50999999999</v>
      </c>
      <c r="E7" s="269" t="n">
        <v>180915.8</v>
      </c>
      <c r="F7" s="145" t="n">
        <v>669421.96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667</v>
      </c>
      <c r="K7" s="63">
        <f>IFERROR(E7/J7,0)</f>
        <v/>
      </c>
      <c r="L7" s="61" t="n">
        <v>45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</f>
        <v/>
      </c>
      <c r="O7" s="172">
        <f>IFERROR(N7/SUM(J7),0)</f>
        <v/>
      </c>
      <c r="P7" s="260" t="n">
        <v>35127.19</v>
      </c>
      <c r="Q7" s="89">
        <f>SUM(P7/E7)</f>
        <v/>
      </c>
      <c r="R7" s="260" t="n">
        <v>11206.35</v>
      </c>
      <c r="S7" s="89">
        <f>SUM(R7/E7)</f>
        <v/>
      </c>
      <c r="T7" s="130" t="n">
        <v>8861.65</v>
      </c>
      <c r="U7" s="26" t="n"/>
    </row>
    <row r="8" ht="15.6" customHeight="1">
      <c r="A8" s="409" t="inlineStr">
        <is>
          <t>Melville</t>
        </is>
      </c>
      <c r="B8" s="200">
        <f>'10 - 16 Jan 2022'!E8</f>
        <v/>
      </c>
      <c r="C8" s="73" t="n">
        <v>104090</v>
      </c>
      <c r="D8" s="145" t="n">
        <v>47315.59</v>
      </c>
      <c r="E8" s="269" t="n">
        <v>112994.77</v>
      </c>
      <c r="F8" s="145" t="n">
        <v>370252.75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450</v>
      </c>
      <c r="K8" s="63">
        <f>IFERROR(E8/J8,0)</f>
        <v/>
      </c>
      <c r="L8" s="61" t="n">
        <v>12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</f>
        <v/>
      </c>
      <c r="O8" s="172">
        <f>IFERROR(N8/SUM(J8),0)</f>
        <v/>
      </c>
      <c r="P8" s="260" t="n">
        <v>54444.43</v>
      </c>
      <c r="Q8" s="89">
        <f>SUM(P8/E8)</f>
        <v/>
      </c>
      <c r="R8" s="260" t="n">
        <v>15261.33</v>
      </c>
      <c r="S8" s="89">
        <f>SUM(R8/E8)</f>
        <v/>
      </c>
      <c r="T8" s="130" t="n">
        <v>3030</v>
      </c>
      <c r="U8" s="26" t="n"/>
    </row>
    <row r="9" ht="15.6" customHeight="1">
      <c r="A9" s="409" t="inlineStr">
        <is>
          <t>Rosebank</t>
        </is>
      </c>
      <c r="B9" s="200">
        <f>'10 - 16 Jan 2022'!E9</f>
        <v/>
      </c>
      <c r="C9" s="73" t="n">
        <v>326457.8</v>
      </c>
      <c r="D9" s="145" t="n">
        <v>100356.98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'10 - 16 Jan 2022'!E10</f>
        <v/>
      </c>
      <c r="C10" s="73" t="n">
        <v>168531.62</v>
      </c>
      <c r="D10" s="145" t="n">
        <v>86299.71000000001</v>
      </c>
      <c r="E10" s="269" t="n">
        <v>136016.39</v>
      </c>
      <c r="F10" s="145" t="n">
        <v>471431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455</v>
      </c>
      <c r="K10" s="63">
        <f>IFERROR(E10/J10,0)</f>
        <v/>
      </c>
      <c r="L10" s="61" t="n">
        <v>44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</f>
        <v/>
      </c>
      <c r="O10" s="172">
        <f>IFERROR(N10/SUM(J10),0)</f>
        <v/>
      </c>
      <c r="P10" s="260" t="n">
        <v>65442.61</v>
      </c>
      <c r="Q10" s="89">
        <f>SUM(P10/E10)</f>
        <v/>
      </c>
      <c r="R10" s="260" t="n">
        <v>5867.26</v>
      </c>
      <c r="S10" s="89">
        <f>SUM(R10/E10)</f>
        <v/>
      </c>
      <c r="T10" s="130" t="n">
        <v>7181</v>
      </c>
      <c r="U10" s="26" t="n"/>
    </row>
    <row r="11" ht="15.6" customHeight="1">
      <c r="A11" s="409" t="inlineStr">
        <is>
          <t>Eagles Landing</t>
        </is>
      </c>
      <c r="B11" s="200">
        <f>'10 - 16 Jan 2022'!E11</f>
        <v/>
      </c>
      <c r="C11" s="73" t="n">
        <v>291680.29</v>
      </c>
      <c r="D11" s="145" t="n">
        <v>141673.04</v>
      </c>
      <c r="E11" s="269" t="n">
        <v>228306.74</v>
      </c>
      <c r="F11" s="145" t="n">
        <v>721342.45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791</v>
      </c>
      <c r="K11" s="63">
        <f>IFERROR(E11/J11,0)</f>
        <v/>
      </c>
      <c r="L11" s="61" t="n">
        <v>84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</f>
        <v/>
      </c>
      <c r="O11" s="172">
        <f>IFERROR(N11/SUM(J11),0)</f>
        <v/>
      </c>
      <c r="P11" s="260" t="n">
        <v>39681.62</v>
      </c>
      <c r="Q11" s="89">
        <f>SUM(P11/E11)</f>
        <v/>
      </c>
      <c r="R11" s="260" t="n">
        <v>17663.48</v>
      </c>
      <c r="S11" s="89">
        <f>SUM(R11/E11)</f>
        <v/>
      </c>
      <c r="T11" s="130" t="n">
        <v>10475.5</v>
      </c>
      <c r="U11" s="26" t="n"/>
    </row>
    <row r="12" ht="15.6" customHeight="1">
      <c r="A12" s="198" t="inlineStr">
        <is>
          <t>Stellenbosch</t>
        </is>
      </c>
      <c r="B12" s="200">
        <f>'10 - 16 Jan 2022'!E12</f>
        <v/>
      </c>
      <c r="C12" s="73" t="n">
        <v>156281.82</v>
      </c>
      <c r="D12" s="145" t="n">
        <v>71651.85000000001</v>
      </c>
      <c r="E12" s="269" t="n">
        <v>101802.88</v>
      </c>
      <c r="F12" s="145" t="n">
        <v>376721.05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380</v>
      </c>
      <c r="K12" s="63">
        <f>IFERROR(E12/J12,0)</f>
        <v/>
      </c>
      <c r="L12" s="61" t="n">
        <v>37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</f>
        <v/>
      </c>
      <c r="O12" s="172">
        <f>IFERROR(N12/SUM(J12),0)</f>
        <v/>
      </c>
      <c r="P12" s="260" t="n">
        <v>14960.61</v>
      </c>
      <c r="Q12" s="89">
        <f>SUM(P12/E12)</f>
        <v/>
      </c>
      <c r="R12" s="260" t="n">
        <v>12291.3</v>
      </c>
      <c r="S12" s="89">
        <f>SUM(R12/E12)</f>
        <v/>
      </c>
      <c r="T12" s="130" t="n">
        <v>7619.75</v>
      </c>
      <c r="U12" s="26" t="n"/>
    </row>
    <row r="13" ht="15.6" customHeight="1">
      <c r="A13" s="198" t="inlineStr">
        <is>
          <t>Lynnwood</t>
        </is>
      </c>
      <c r="B13" s="200">
        <f>'10 - 16 Jan 2022'!E13</f>
        <v/>
      </c>
      <c r="C13" s="73" t="n">
        <v>195672.15</v>
      </c>
      <c r="D13" s="145" t="n">
        <v>125906.05</v>
      </c>
      <c r="E13" s="269" t="n">
        <v>187513.18</v>
      </c>
      <c r="F13" s="145" t="n">
        <v>621328.2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666</v>
      </c>
      <c r="K13" s="63">
        <f>IFERROR(E13/J13,0)</f>
        <v/>
      </c>
      <c r="L13" s="61" t="n">
        <v>78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</f>
        <v/>
      </c>
      <c r="O13" s="172">
        <f>IFERROR(N13/SUM(J13),0)</f>
        <v/>
      </c>
      <c r="P13" s="260" t="n">
        <v>31970.68</v>
      </c>
      <c r="Q13" s="89">
        <f>SUM(P13/E13)</f>
        <v/>
      </c>
      <c r="R13" s="260" t="n">
        <v>19815.3</v>
      </c>
      <c r="S13" s="89">
        <f>SUM(R13/E13)</f>
        <v/>
      </c>
      <c r="T13" s="130" t="n">
        <v>7815.5</v>
      </c>
      <c r="U13" s="26" t="n"/>
    </row>
    <row r="14" hidden="1" ht="15.6" customHeight="1">
      <c r="A14" s="198" t="inlineStr">
        <is>
          <t>Wellington</t>
        </is>
      </c>
      <c r="B14" s="200">
        <f>'10 - 16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'10 - 16 Jan 2022'!E15</f>
        <v/>
      </c>
      <c r="C15" s="73" t="n">
        <v>177959.61</v>
      </c>
      <c r="D15" s="145" t="n">
        <v>106853.6</v>
      </c>
      <c r="E15" s="269" t="n">
        <v>255303.8</v>
      </c>
      <c r="F15" s="145" t="n">
        <v>1661983.69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914</v>
      </c>
      <c r="K15" s="63">
        <f>IFERROR(E15/J15,0)</f>
        <v/>
      </c>
      <c r="L15" s="61" t="n">
        <v>63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28370.87</v>
      </c>
      <c r="S15" s="89">
        <f>SUM(R15/E15)</f>
        <v/>
      </c>
      <c r="T15" s="130" t="n">
        <v>1626.75</v>
      </c>
      <c r="U15" s="9" t="n"/>
    </row>
    <row r="16" ht="15.6" customHeight="1">
      <c r="A16" s="198" t="inlineStr">
        <is>
          <t>Kyalami Corner</t>
        </is>
      </c>
      <c r="B16" s="200">
        <f>'10 - 16 Jan 2022'!E16</f>
        <v/>
      </c>
      <c r="C16" s="73" t="n">
        <v>127667.08</v>
      </c>
      <c r="D16" s="145" t="n">
        <v>62660.29</v>
      </c>
      <c r="E16" s="269" t="n">
        <v>128284.99</v>
      </c>
      <c r="F16" s="145" t="n">
        <v>424397.6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486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</f>
        <v/>
      </c>
      <c r="O16" s="172">
        <f>IFERROR(N16/SUM(J16),0)</f>
        <v/>
      </c>
      <c r="P16" s="260" t="n">
        <v>33256.74</v>
      </c>
      <c r="Q16" s="89">
        <f>SUM(P16/E16)</f>
        <v/>
      </c>
      <c r="R16" s="260" t="n">
        <v>22645.26</v>
      </c>
      <c r="S16" s="89">
        <f>SUM(R16/E16)</f>
        <v/>
      </c>
      <c r="T16" s="130" t="n">
        <v>4980</v>
      </c>
      <c r="U16" s="9" t="n"/>
      <c r="X16" s="238" t="n"/>
    </row>
    <row r="17" ht="15.6" customHeight="1">
      <c r="A17" s="198" t="inlineStr">
        <is>
          <t>Paulshof</t>
        </is>
      </c>
      <c r="B17" s="200">
        <f>'10 - 16 Jan 2022'!E17</f>
        <v/>
      </c>
      <c r="C17" s="73" t="n">
        <v>217452</v>
      </c>
      <c r="D17" s="145" t="n">
        <v>85253.73</v>
      </c>
      <c r="E17" s="269" t="n">
        <v>159089.55</v>
      </c>
      <c r="F17" s="145" t="n">
        <v>505543.37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601</v>
      </c>
      <c r="K17" s="63">
        <f>IFERROR(E17/J17,0)</f>
        <v/>
      </c>
      <c r="L17" s="61" t="n">
        <v>57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</f>
        <v/>
      </c>
      <c r="O17" s="172">
        <f>IFERROR(N17/SUM(J17),0)</f>
        <v/>
      </c>
      <c r="P17" s="260" t="n">
        <v>23104.23</v>
      </c>
      <c r="Q17" s="89">
        <f>SUM(P17/E17)</f>
        <v/>
      </c>
      <c r="R17" s="260" t="n">
        <v>19611.7</v>
      </c>
      <c r="S17" s="89">
        <f>SUM(R17/E17)</f>
        <v/>
      </c>
      <c r="T17" s="130" t="n">
        <v>5952</v>
      </c>
      <c r="U17" s="9" t="n"/>
    </row>
    <row r="18" ht="15.6" customHeight="1">
      <c r="A18" s="198" t="inlineStr">
        <is>
          <t>Queenswood</t>
        </is>
      </c>
      <c r="B18" s="200">
        <f>'10 - 16 Jan 2022'!E18</f>
        <v/>
      </c>
      <c r="C18" s="73" t="n">
        <v>198718.15</v>
      </c>
      <c r="D18" s="73" t="n">
        <v>102837.09</v>
      </c>
      <c r="E18" s="269" t="n">
        <v>149114.31</v>
      </c>
      <c r="F18" s="145" t="n">
        <v>513668.81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579</v>
      </c>
      <c r="K18" s="63">
        <f>IFERROR(E18/J18,0)</f>
        <v/>
      </c>
      <c r="L18" s="61" t="n">
        <v>89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</f>
        <v/>
      </c>
      <c r="O18" s="172">
        <f>IFERROR(N18/SUM(J18),0)</f>
        <v/>
      </c>
      <c r="P18" s="260" t="n">
        <v>28179.83</v>
      </c>
      <c r="Q18" s="89">
        <f>SUM(P18/E18)</f>
        <v/>
      </c>
      <c r="R18" s="260" t="n">
        <v>13201.61</v>
      </c>
      <c r="S18" s="89">
        <f>SUM(R18/E18)</f>
        <v/>
      </c>
      <c r="T18" s="130" t="n">
        <v>5707.5</v>
      </c>
      <c r="U18" s="9" t="n"/>
    </row>
    <row r="19" hidden="1" ht="16.2" customHeight="1" thickBot="1">
      <c r="A19" s="203" t="inlineStr">
        <is>
          <t>Centurion</t>
        </is>
      </c>
      <c r="B19" s="200">
        <f>'1 - 7 Nov'!E19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'17 - 23 Jan 2022'!E6</f>
        <v/>
      </c>
      <c r="C6" s="255" t="n">
        <v>253886.48</v>
      </c>
      <c r="D6" s="197" t="n">
        <v>126561.93</v>
      </c>
      <c r="E6" s="268" t="n">
        <v>219896.15</v>
      </c>
      <c r="F6" s="123" t="n">
        <v>964684.3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709</v>
      </c>
      <c r="K6" s="63">
        <f>IFERROR(E6/J6,0)</f>
        <v/>
      </c>
      <c r="L6" s="125" t="n">
        <v>54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</f>
        <v/>
      </c>
      <c r="O6" s="171">
        <f>IFERROR(N6/SUM(J6),0)</f>
        <v/>
      </c>
      <c r="P6" s="259" t="n">
        <v>38126.09</v>
      </c>
      <c r="Q6" s="128">
        <f>SUM(P6/E6)</f>
        <v/>
      </c>
      <c r="R6" s="260" t="n">
        <v>8846.48</v>
      </c>
      <c r="S6" s="128">
        <f>SUM(R6/E6)</f>
        <v/>
      </c>
      <c r="T6" s="129" t="n">
        <v>7884.9</v>
      </c>
      <c r="U6" s="26" t="n"/>
    </row>
    <row r="7" ht="15.6" customHeight="1">
      <c r="A7" s="409" t="inlineStr">
        <is>
          <t>Melrose Arch</t>
        </is>
      </c>
      <c r="B7" s="200">
        <f>'17 - 23 Jan 2022'!E7</f>
        <v/>
      </c>
      <c r="C7" s="73" t="n">
        <v>219670.06</v>
      </c>
      <c r="D7" s="145" t="n">
        <v>93776.87</v>
      </c>
      <c r="E7" s="269" t="n">
        <v>219465.41</v>
      </c>
      <c r="F7" s="145" t="n">
        <v>888887.37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780</v>
      </c>
      <c r="K7" s="63">
        <f>IFERROR(E7/J7,0)</f>
        <v/>
      </c>
      <c r="L7" s="61" t="n">
        <v>56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</f>
        <v/>
      </c>
      <c r="O7" s="172">
        <f>IFERROR(N7/SUM(J7),0)</f>
        <v/>
      </c>
      <c r="P7" s="260" t="n">
        <v>32979.04</v>
      </c>
      <c r="Q7" s="89">
        <f>SUM(P7/E7)</f>
        <v/>
      </c>
      <c r="R7" s="260" t="n">
        <v>21185.22</v>
      </c>
      <c r="S7" s="89">
        <f>SUM(R7/E7)</f>
        <v/>
      </c>
      <c r="T7" s="130" t="n">
        <v>16567.48</v>
      </c>
      <c r="U7" s="26" t="n"/>
    </row>
    <row r="8" ht="15.6" customHeight="1">
      <c r="A8" s="409" t="inlineStr">
        <is>
          <t>Melville</t>
        </is>
      </c>
      <c r="B8" s="200">
        <f>'17 - 23 Jan 2022'!E8</f>
        <v/>
      </c>
      <c r="C8" s="73" t="n">
        <v>108989.56</v>
      </c>
      <c r="D8" s="145" t="n">
        <v>57360.48</v>
      </c>
      <c r="E8" s="269" t="n">
        <v>115980.35</v>
      </c>
      <c r="F8" s="145" t="n">
        <v>486233.1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474</v>
      </c>
      <c r="K8" s="63">
        <f>IFERROR(E8/J8,0)</f>
        <v/>
      </c>
      <c r="L8" s="61" t="n">
        <v>22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</f>
        <v/>
      </c>
      <c r="O8" s="172">
        <f>IFERROR(N8/SUM(J8),0)</f>
        <v/>
      </c>
      <c r="P8" s="260" t="n">
        <v>51640.1</v>
      </c>
      <c r="Q8" s="89">
        <f>SUM(P8/E8)</f>
        <v/>
      </c>
      <c r="R8" s="260" t="n">
        <v>12277.39</v>
      </c>
      <c r="S8" s="89">
        <f>SUM(R8/E8)</f>
        <v/>
      </c>
      <c r="T8" s="130" t="n">
        <v>3106.4</v>
      </c>
      <c r="U8" s="26" t="n"/>
    </row>
    <row r="9" ht="15.6" customHeight="1">
      <c r="A9" s="409" t="inlineStr">
        <is>
          <t>Rosebank</t>
        </is>
      </c>
      <c r="B9" s="200">
        <f>'17 - 23 Jan 2022'!E9</f>
        <v/>
      </c>
      <c r="C9" s="73" t="n">
        <v>304035.96</v>
      </c>
      <c r="D9" s="145" t="n">
        <v>126300.8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'17 - 23 Jan 2022'!E10</f>
        <v/>
      </c>
      <c r="C10" s="73" t="n">
        <v>157219.01</v>
      </c>
      <c r="D10" s="145" t="n">
        <v>84843.92999999999</v>
      </c>
      <c r="E10" s="269" t="n">
        <v>177078.57</v>
      </c>
      <c r="F10" s="145" t="n">
        <v>648509.5699999999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564</v>
      </c>
      <c r="K10" s="63">
        <f>IFERROR(E10/J10,0)</f>
        <v/>
      </c>
      <c r="L10" s="61" t="n">
        <v>40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</f>
        <v/>
      </c>
      <c r="O10" s="172">
        <f>IFERROR(N10/SUM(J10),0)</f>
        <v/>
      </c>
      <c r="P10" s="260" t="n">
        <v>57301.65</v>
      </c>
      <c r="Q10" s="89">
        <f>SUM(P10/E10)</f>
        <v/>
      </c>
      <c r="R10" s="260" t="n">
        <v>9142.57</v>
      </c>
      <c r="S10" s="89">
        <f>SUM(R10/E10)</f>
        <v/>
      </c>
      <c r="T10" s="130" t="n">
        <v>7045.63</v>
      </c>
      <c r="U10" s="26" t="n"/>
    </row>
    <row r="11" ht="15.6" customHeight="1">
      <c r="A11" s="409" t="inlineStr">
        <is>
          <t>Eagles Landing</t>
        </is>
      </c>
      <c r="B11" s="200">
        <f>'17 - 23 Jan 2022'!E11</f>
        <v/>
      </c>
      <c r="C11" s="73" t="n">
        <v>317481.25</v>
      </c>
      <c r="D11" s="145" t="n">
        <v>166326.36</v>
      </c>
      <c r="E11" s="269" t="n">
        <v>251779.71</v>
      </c>
      <c r="F11" s="145" t="n">
        <v>973122.16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891</v>
      </c>
      <c r="K11" s="63">
        <f>IFERROR(E11/J11,0)</f>
        <v/>
      </c>
      <c r="L11" s="61" t="n">
        <v>87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</f>
        <v/>
      </c>
      <c r="O11" s="172">
        <f>IFERROR(N11/SUM(J11),0)</f>
        <v/>
      </c>
      <c r="P11" s="260" t="n">
        <v>53592.77</v>
      </c>
      <c r="Q11" s="89">
        <f>SUM(P11/E11)</f>
        <v/>
      </c>
      <c r="R11" s="260" t="n">
        <v>23138.06</v>
      </c>
      <c r="S11" s="89">
        <f>SUM(R11/E11)</f>
        <v/>
      </c>
      <c r="T11" s="130" t="n">
        <v>12938.1</v>
      </c>
      <c r="U11" s="26" t="n"/>
    </row>
    <row r="12" ht="15.6" customHeight="1">
      <c r="A12" s="198" t="inlineStr">
        <is>
          <t>Stellenbosch</t>
        </is>
      </c>
      <c r="B12" s="200">
        <f>'17 - 23 Jan 2022'!E12</f>
        <v/>
      </c>
      <c r="C12" s="73" t="n">
        <v>171217.16</v>
      </c>
      <c r="D12" s="145" t="n">
        <v>69138.12</v>
      </c>
      <c r="E12" s="269" t="n">
        <v>148338.9</v>
      </c>
      <c r="F12" s="145" t="n">
        <v>525059.95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471</v>
      </c>
      <c r="K12" s="63">
        <f>IFERROR(E12/J12,0)</f>
        <v/>
      </c>
      <c r="L12" s="61" t="n">
        <v>60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</f>
        <v/>
      </c>
      <c r="O12" s="172">
        <f>IFERROR(N12/SUM(J12),0)</f>
        <v/>
      </c>
      <c r="P12" s="260" t="n">
        <v>22469.24</v>
      </c>
      <c r="Q12" s="89">
        <f>SUM(P12/E12)</f>
        <v/>
      </c>
      <c r="R12" s="260" t="n">
        <v>16084.25</v>
      </c>
      <c r="S12" s="89">
        <f>SUM(R12/E12)</f>
        <v/>
      </c>
      <c r="T12" s="130" t="n">
        <v>7446</v>
      </c>
      <c r="U12" s="26" t="n"/>
    </row>
    <row r="13" ht="15.6" customHeight="1">
      <c r="A13" s="198" t="inlineStr">
        <is>
          <t>Lynnwood</t>
        </is>
      </c>
      <c r="B13" s="200">
        <f>'17 - 23 Jan 2022'!E13</f>
        <v/>
      </c>
      <c r="C13" s="73" t="n">
        <v>252185.47</v>
      </c>
      <c r="D13" s="145" t="n">
        <v>132147.5</v>
      </c>
      <c r="E13" s="269" t="n">
        <v>227518.52</v>
      </c>
      <c r="F13" s="145" t="n">
        <v>848846.72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825</v>
      </c>
      <c r="K13" s="63">
        <f>IFERROR(E13/J13,0)</f>
        <v/>
      </c>
      <c r="L13" s="61" t="n">
        <v>69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</f>
        <v/>
      </c>
      <c r="O13" s="172">
        <f>IFERROR(N13/SUM(J13),0)</f>
        <v/>
      </c>
      <c r="P13" s="260" t="n">
        <v>42299.83</v>
      </c>
      <c r="Q13" s="89">
        <f>SUM(P13/E13)</f>
        <v/>
      </c>
      <c r="R13" s="260" t="n">
        <v>32679.74</v>
      </c>
      <c r="S13" s="89">
        <f>SUM(R13/E13)</f>
        <v/>
      </c>
      <c r="T13" s="130" t="n">
        <v>9124</v>
      </c>
      <c r="U13" s="26" t="n"/>
    </row>
    <row r="14" hidden="1" ht="15.6" customHeight="1">
      <c r="A14" s="198" t="inlineStr">
        <is>
          <t>Wellington</t>
        </is>
      </c>
      <c r="B14" s="200">
        <f>'17 - 23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'17 - 23 Jan 2022'!E15</f>
        <v/>
      </c>
      <c r="C15" s="73" t="n">
        <v>177284.39</v>
      </c>
      <c r="D15" s="145" t="n">
        <v>102350.02</v>
      </c>
      <c r="E15" s="269" t="n">
        <v>240544.36</v>
      </c>
      <c r="F15" s="145" t="n">
        <v>1902528.05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822</v>
      </c>
      <c r="K15" s="63">
        <f>IFERROR(E15/J15,0)</f>
        <v/>
      </c>
      <c r="L15" s="61" t="n">
        <v>54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18903.91</v>
      </c>
      <c r="S15" s="89">
        <f>SUM(R15/E15)</f>
        <v/>
      </c>
      <c r="T15" s="130" t="n">
        <v>1846.4</v>
      </c>
      <c r="U15" s="9" t="n"/>
    </row>
    <row r="16" ht="15.6" customHeight="1">
      <c r="A16" s="198" t="inlineStr">
        <is>
          <t>Kyalami Corner</t>
        </is>
      </c>
      <c r="B16" s="200">
        <f>'17 - 23 Jan 2022'!E16</f>
        <v/>
      </c>
      <c r="C16" s="73" t="n">
        <v>129067.81</v>
      </c>
      <c r="D16" s="145" t="n">
        <v>69979.25999999999</v>
      </c>
      <c r="E16" s="269" t="n">
        <v>144588.24</v>
      </c>
      <c r="F16" s="145" t="n">
        <v>568985.84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550</v>
      </c>
      <c r="K16" s="63">
        <f>IFERROR(E16/J16,0)</f>
        <v/>
      </c>
      <c r="L16" s="61" t="n">
        <v>21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</f>
        <v/>
      </c>
      <c r="O16" s="172">
        <f>IFERROR(N16/SUM(J16),0)</f>
        <v/>
      </c>
      <c r="P16" s="260" t="n">
        <v>33468.33</v>
      </c>
      <c r="Q16" s="89">
        <f>SUM(P16/E16)</f>
        <v/>
      </c>
      <c r="R16" s="260" t="n">
        <v>28251.26</v>
      </c>
      <c r="S16" s="89">
        <f>SUM(R16/E16)</f>
        <v/>
      </c>
      <c r="T16" s="130" t="n">
        <v>5621.5</v>
      </c>
      <c r="U16" s="9" t="n"/>
      <c r="X16" s="238" t="n"/>
    </row>
    <row r="17" ht="15.6" customHeight="1">
      <c r="A17" s="198" t="inlineStr">
        <is>
          <t>Paulshof</t>
        </is>
      </c>
      <c r="B17" s="200">
        <f>'17 - 23 Jan 2022'!E17</f>
        <v/>
      </c>
      <c r="C17" s="73" t="n">
        <v>226675.96</v>
      </c>
      <c r="D17" s="145" t="n">
        <v>98293.32000000001</v>
      </c>
      <c r="E17" s="269" t="n">
        <v>184402.37</v>
      </c>
      <c r="F17" s="145" t="n">
        <v>689945.74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700</v>
      </c>
      <c r="K17" s="63">
        <f>IFERROR(E17/J17,0)</f>
        <v/>
      </c>
      <c r="L17" s="61" t="n">
        <v>45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</f>
        <v/>
      </c>
      <c r="O17" s="172">
        <f>IFERROR(N17/SUM(J17),0)</f>
        <v/>
      </c>
      <c r="P17" s="260" t="n">
        <v>28593</v>
      </c>
      <c r="Q17" s="89">
        <f>SUM(P17/E17)</f>
        <v/>
      </c>
      <c r="R17" s="260" t="n">
        <v>28371.65</v>
      </c>
      <c r="S17" s="89">
        <f>SUM(R17/E17)</f>
        <v/>
      </c>
      <c r="T17" s="130" t="n">
        <v>6328.5</v>
      </c>
      <c r="U17" s="9" t="n"/>
    </row>
    <row r="18" ht="15.6" customHeight="1">
      <c r="A18" s="198" t="inlineStr">
        <is>
          <t>Queenswood</t>
        </is>
      </c>
      <c r="B18" s="200">
        <f>'17 - 23 Jan 2022'!E18</f>
        <v/>
      </c>
      <c r="C18" s="73" t="n">
        <v>189390.06</v>
      </c>
      <c r="D18" s="73" t="n">
        <v>103453.32</v>
      </c>
      <c r="E18" s="269" t="n">
        <v>166446.76</v>
      </c>
      <c r="F18" s="145" t="n">
        <v>680115.5699999999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636</v>
      </c>
      <c r="K18" s="63">
        <f>IFERROR(E18/J18,0)</f>
        <v/>
      </c>
      <c r="L18" s="61" t="n">
        <v>84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</f>
        <v/>
      </c>
      <c r="O18" s="172">
        <f>IFERROR(N18/SUM(J18),0)</f>
        <v/>
      </c>
      <c r="P18" s="260" t="n">
        <v>29429.96</v>
      </c>
      <c r="Q18" s="89">
        <f>SUM(P18/E18)</f>
        <v/>
      </c>
      <c r="R18" s="260" t="n">
        <v>21213.43</v>
      </c>
      <c r="S18" s="89">
        <f>SUM(R18/E18)</f>
        <v/>
      </c>
      <c r="T18" s="130" t="n">
        <v>4303.5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2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Discounts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'24 - 30 Jan 2022'!E6</f>
        <v/>
      </c>
      <c r="C6" s="255" t="n">
        <v>237293.22</v>
      </c>
      <c r="D6" s="197" t="n">
        <v>174135.04</v>
      </c>
      <c r="E6" s="268" t="n">
        <v>238606.29</v>
      </c>
      <c r="F6" s="123" t="n">
        <v>219348.22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738</v>
      </c>
      <c r="K6" s="63">
        <f>IFERROR(E6/J6,0)</f>
        <v/>
      </c>
      <c r="L6" s="125" t="n">
        <v>45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/>
      </c>
      <c r="O6" s="171">
        <f>IFERROR(N6/SUM(J6),0)</f>
        <v/>
      </c>
      <c r="P6" s="259" t="n">
        <v>52697.74</v>
      </c>
      <c r="Q6" s="128">
        <f>SUM(P6/E6)</f>
        <v/>
      </c>
      <c r="R6" s="260" t="n">
        <v>8021.13</v>
      </c>
      <c r="S6" s="128">
        <f>SUM(R6/E6)</f>
        <v/>
      </c>
      <c r="T6" s="129" t="n">
        <v>7393.2</v>
      </c>
      <c r="U6" s="26" t="n"/>
    </row>
    <row r="7" ht="15.6" customHeight="1">
      <c r="A7" s="409" t="inlineStr">
        <is>
          <t>Melrose Arch</t>
        </is>
      </c>
      <c r="B7" s="200">
        <f>'24 - 30 Jan 2022'!E7</f>
        <v/>
      </c>
      <c r="C7" s="73" t="n">
        <v>220030.82</v>
      </c>
      <c r="D7" s="145" t="n">
        <v>142494.72</v>
      </c>
      <c r="E7" s="269" t="n">
        <v>219199.77</v>
      </c>
      <c r="F7" s="145" t="n">
        <v>204713.84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755</v>
      </c>
      <c r="K7" s="63">
        <f>IFERROR(E7/J7,0)</f>
        <v/>
      </c>
      <c r="L7" s="61" t="n">
        <v>96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/>
      </c>
      <c r="O7" s="172">
        <f>IFERROR(N7/SUM(J7),0)</f>
        <v/>
      </c>
      <c r="P7" s="260" t="n">
        <v>28364.22</v>
      </c>
      <c r="Q7" s="89">
        <f>SUM(P7/E7)</f>
        <v/>
      </c>
      <c r="R7" s="260" t="n">
        <v>21832.22</v>
      </c>
      <c r="S7" s="89">
        <f>SUM(R7/E7)</f>
        <v/>
      </c>
      <c r="T7" s="130" t="n">
        <v>11931.95</v>
      </c>
      <c r="U7" s="26" t="n"/>
    </row>
    <row r="8" ht="15.6" customHeight="1">
      <c r="A8" s="409" t="inlineStr">
        <is>
          <t>Melville</t>
        </is>
      </c>
      <c r="B8" s="200">
        <f>'24 - 30 Jan 2022'!E8</f>
        <v/>
      </c>
      <c r="C8" s="73" t="n">
        <v>109046.25</v>
      </c>
      <c r="D8" s="145" t="n">
        <v>83932.42</v>
      </c>
      <c r="E8" s="269" t="n">
        <v>108709.21</v>
      </c>
      <c r="F8" s="145" t="n">
        <v>98655.35000000001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438</v>
      </c>
      <c r="K8" s="63">
        <f>IFERROR(E8/J8,0)</f>
        <v/>
      </c>
      <c r="L8" s="61" t="n">
        <v>13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/>
      </c>
      <c r="O8" s="172">
        <f>IFERROR(N8/SUM(J8),0)</f>
        <v/>
      </c>
      <c r="P8" s="260" t="n">
        <v>52116.61</v>
      </c>
      <c r="Q8" s="89">
        <f>SUM(P8/E8)</f>
        <v/>
      </c>
      <c r="R8" s="260" t="n">
        <v>15157.57</v>
      </c>
      <c r="S8" s="89">
        <f>SUM(R8/E8)</f>
        <v/>
      </c>
      <c r="T8" s="130" t="n">
        <v>2723</v>
      </c>
      <c r="U8" s="26" t="n"/>
    </row>
    <row r="9" ht="15.6" customHeight="1">
      <c r="A9" s="409" t="inlineStr">
        <is>
          <t>Rosebank</t>
        </is>
      </c>
      <c r="B9" s="200">
        <f>'24 - 30 Jan 2022'!E9</f>
        <v/>
      </c>
      <c r="C9" s="73" t="n">
        <v>0</v>
      </c>
      <c r="D9" s="145" t="n">
        <v>179928.28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'24 - 30 Jan 2022'!E10</f>
        <v/>
      </c>
      <c r="C10" s="73" t="n">
        <v>162465.92</v>
      </c>
      <c r="D10" s="145" t="n">
        <v>109234.04</v>
      </c>
      <c r="E10" s="269" t="n">
        <v>166802.73</v>
      </c>
      <c r="F10" s="145" t="n">
        <v>151561.62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563</v>
      </c>
      <c r="K10" s="63">
        <f>IFERROR(E10/J10,0)</f>
        <v/>
      </c>
      <c r="L10" s="61" t="n">
        <v>63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/>
      </c>
      <c r="O10" s="172">
        <f>IFERROR(N10/SUM(J10),0)</f>
        <v/>
      </c>
      <c r="P10" s="260" t="n">
        <v>55643.22</v>
      </c>
      <c r="Q10" s="89">
        <f>SUM(P10/E10)</f>
        <v/>
      </c>
      <c r="R10" s="260" t="n">
        <v>4964.83</v>
      </c>
      <c r="S10" s="89">
        <f>SUM(R10/E10)</f>
        <v/>
      </c>
      <c r="T10" s="130" t="n">
        <v>4369.5</v>
      </c>
      <c r="U10" s="26" t="n"/>
    </row>
    <row r="11" ht="15.6" customHeight="1">
      <c r="A11" s="409" t="inlineStr">
        <is>
          <t>Eagles Landing</t>
        </is>
      </c>
      <c r="B11" s="200">
        <f>'24 - 30 Jan 2022'!E11</f>
        <v/>
      </c>
      <c r="C11" s="73" t="n">
        <v>296440.63</v>
      </c>
      <c r="D11" s="145" t="n">
        <v>253363.15</v>
      </c>
      <c r="E11" s="269" t="n">
        <v>216181.06</v>
      </c>
      <c r="F11" s="145" t="n">
        <v>197215.5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756</v>
      </c>
      <c r="K11" s="63">
        <f>IFERROR(E11/J11,0)</f>
        <v/>
      </c>
      <c r="L11" s="61" t="n">
        <v>59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/>
      </c>
      <c r="O11" s="172">
        <f>IFERROR(N11/SUM(J11),0)</f>
        <v/>
      </c>
      <c r="P11" s="260" t="n">
        <v>32731.17</v>
      </c>
      <c r="Q11" s="89">
        <f>SUM(P11/E11)</f>
        <v/>
      </c>
      <c r="R11" s="260" t="n">
        <v>26140.74</v>
      </c>
      <c r="S11" s="89">
        <f>SUM(R11/E11)</f>
        <v/>
      </c>
      <c r="T11" s="130" t="n">
        <v>7522.1</v>
      </c>
      <c r="U11" s="26" t="n"/>
    </row>
    <row r="12" ht="15.6" customHeight="1">
      <c r="A12" s="198" t="inlineStr">
        <is>
          <t>Stellenbosch</t>
        </is>
      </c>
      <c r="B12" s="200">
        <f>'24 - 30 Jan 2022'!E12</f>
        <v/>
      </c>
      <c r="C12" s="73" t="n">
        <v>153633.8</v>
      </c>
      <c r="D12" s="145" t="n">
        <v>94925.62</v>
      </c>
      <c r="E12" s="269" t="n">
        <v>141844.61</v>
      </c>
      <c r="F12" s="145" t="n">
        <v>128352.74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523</v>
      </c>
      <c r="K12" s="63">
        <f>IFERROR(E12/J12,0)</f>
        <v/>
      </c>
      <c r="L12" s="61" t="n">
        <v>58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/>
      </c>
      <c r="O12" s="172">
        <f>IFERROR(N12/SUM(J12),0)</f>
        <v/>
      </c>
      <c r="P12" s="260" t="n">
        <v>22996.22</v>
      </c>
      <c r="Q12" s="89">
        <f>SUM(P12/E12)</f>
        <v/>
      </c>
      <c r="R12" s="260" t="n">
        <v>16233.52</v>
      </c>
      <c r="S12" s="89">
        <f>SUM(R12/E12)</f>
        <v/>
      </c>
      <c r="T12" s="130" t="n">
        <v>8130.15</v>
      </c>
      <c r="U12" s="26" t="n"/>
    </row>
    <row r="13" ht="15.6" customHeight="1">
      <c r="A13" s="198" t="inlineStr">
        <is>
          <t>Lynnwood</t>
        </is>
      </c>
      <c r="B13" s="200">
        <f>'24 - 30 Jan 2022'!E13</f>
        <v/>
      </c>
      <c r="C13" s="73" t="n">
        <v>206977.96</v>
      </c>
      <c r="D13" s="145" t="n">
        <v>172280.88</v>
      </c>
      <c r="E13" s="269" t="n">
        <v>215241.73</v>
      </c>
      <c r="F13" s="145" t="n">
        <v>195355.83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805</v>
      </c>
      <c r="K13" s="63">
        <f>IFERROR(E13/J13,0)</f>
        <v/>
      </c>
      <c r="L13" s="61" t="n">
        <v>41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/>
      </c>
      <c r="O13" s="172">
        <f>IFERROR(N13/SUM(J13),0)</f>
        <v/>
      </c>
      <c r="P13" s="260" t="n">
        <v>36451.78</v>
      </c>
      <c r="Q13" s="89">
        <f>SUM(P13/E13)</f>
        <v/>
      </c>
      <c r="R13" s="260" t="n">
        <v>27952.61</v>
      </c>
      <c r="S13" s="89">
        <f>SUM(R13/E13)</f>
        <v/>
      </c>
      <c r="T13" s="130" t="n">
        <v>5842.3</v>
      </c>
      <c r="U13" s="26" t="n"/>
    </row>
    <row r="14" hidden="1" ht="15.6" customHeight="1">
      <c r="A14" s="198" t="inlineStr">
        <is>
          <t>Wellington</t>
        </is>
      </c>
      <c r="B14" s="200">
        <f>'24 - 30 Jan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'24 - 30 Jan 2022'!E15</f>
        <v/>
      </c>
      <c r="C15" s="73" t="n">
        <v>184245.92</v>
      </c>
      <c r="D15" s="145" t="n">
        <v>160228.96</v>
      </c>
      <c r="E15" s="269" t="n">
        <v>243672.85</v>
      </c>
      <c r="F15" s="145" t="n">
        <v>217821.47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849</v>
      </c>
      <c r="K15" s="63">
        <f>IFERROR(E15/J15,0)</f>
        <v/>
      </c>
      <c r="L15" s="61" t="n">
        <v>46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23165.65</v>
      </c>
      <c r="S15" s="89">
        <f>SUM(R15/E15)</f>
        <v/>
      </c>
      <c r="T15" s="130" t="n">
        <v>1481.65</v>
      </c>
      <c r="U15" s="9" t="n"/>
    </row>
    <row r="16" ht="15.6" customHeight="1">
      <c r="A16" s="198" t="inlineStr">
        <is>
          <t>Kyalami Corner</t>
        </is>
      </c>
      <c r="B16" s="200">
        <f>'24 - 30 Jan 2022'!E16</f>
        <v/>
      </c>
      <c r="C16" s="73" t="n">
        <v>136872.09</v>
      </c>
      <c r="D16" s="145" t="n">
        <v>103278.04</v>
      </c>
      <c r="E16" s="269" t="n">
        <v>132179.39</v>
      </c>
      <c r="F16" s="145" t="n">
        <v>121442.44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508</v>
      </c>
      <c r="K16" s="63">
        <f>IFERROR(E16/J16,0)</f>
        <v/>
      </c>
      <c r="L16" s="61" t="n">
        <v>43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/>
      </c>
      <c r="O16" s="172">
        <f>IFERROR(N16/SUM(J16),0)</f>
        <v/>
      </c>
      <c r="P16" s="260" t="n">
        <v>25307.81</v>
      </c>
      <c r="Q16" s="89">
        <f>SUM(P16/E16)</f>
        <v/>
      </c>
      <c r="R16" s="260" t="n">
        <v>25100.83</v>
      </c>
      <c r="S16" s="89">
        <f>SUM(R16/E16)</f>
        <v/>
      </c>
      <c r="T16" s="130" t="n">
        <v>6667.25</v>
      </c>
      <c r="U16" s="9" t="n"/>
      <c r="X16" s="238" t="n"/>
    </row>
    <row r="17" ht="15.6" customHeight="1">
      <c r="A17" s="198" t="inlineStr">
        <is>
          <t>Paulshof</t>
        </is>
      </c>
      <c r="B17" s="200">
        <f>'24 - 30 Jan 2022'!E17</f>
        <v/>
      </c>
      <c r="C17" s="73" t="n">
        <v>183593.77</v>
      </c>
      <c r="D17" s="145" t="n">
        <v>153397.76</v>
      </c>
      <c r="E17" s="269" t="n">
        <v>192804.32</v>
      </c>
      <c r="F17" s="145" t="n">
        <v>173865.58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733</v>
      </c>
      <c r="K17" s="63">
        <f>IFERROR(E17/J17,0)</f>
        <v/>
      </c>
      <c r="L17" s="61" t="n">
        <v>33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/>
      </c>
      <c r="O17" s="172">
        <f>IFERROR(N17/SUM(J17),0)</f>
        <v/>
      </c>
      <c r="P17" s="260" t="n">
        <v>33118.48</v>
      </c>
      <c r="Q17" s="89">
        <f>SUM(P17/E17)</f>
        <v/>
      </c>
      <c r="R17" s="260" t="n">
        <v>25768.16</v>
      </c>
      <c r="S17" s="89">
        <f>SUM(R17/E17)</f>
        <v/>
      </c>
      <c r="T17" s="130" t="n">
        <v>7159.8</v>
      </c>
      <c r="U17" s="9" t="n"/>
    </row>
    <row r="18" ht="15.6" customHeight="1">
      <c r="A18" s="198" t="inlineStr">
        <is>
          <t>Queenswood</t>
        </is>
      </c>
      <c r="B18" s="200">
        <f>'24 - 30 Jan 2022'!E18</f>
        <v/>
      </c>
      <c r="C18" s="73" t="n">
        <v>176775.06</v>
      </c>
      <c r="D18" s="73" t="n">
        <v>144117.34</v>
      </c>
      <c r="E18" s="269" t="n">
        <v>183194.06</v>
      </c>
      <c r="F18" s="145" t="n">
        <v>166464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704</v>
      </c>
      <c r="K18" s="63">
        <f>IFERROR(E18/J18,0)</f>
        <v/>
      </c>
      <c r="L18" s="61" t="n">
        <v>105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/>
      </c>
      <c r="O18" s="172">
        <f>IFERROR(N18/SUM(J18),0)</f>
        <v/>
      </c>
      <c r="P18" s="260" t="n">
        <v>31678.87</v>
      </c>
      <c r="Q18" s="89">
        <f>SUM(P18/E18)</f>
        <v/>
      </c>
      <c r="R18" s="260" t="n">
        <v>18720.04</v>
      </c>
      <c r="S18" s="89">
        <f>SUM(R18/E18)</f>
        <v/>
      </c>
      <c r="T18" s="130" t="n">
        <v>4807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0" t="inlineStr">
        <is>
          <t>Avg Spend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>
        <f>'31 Jan - 6 Feb 2022'!E6</f>
        <v/>
      </c>
      <c r="C6" s="255" t="n">
        <v>280895.78</v>
      </c>
      <c r="D6" s="197" t="n">
        <v>202762.61</v>
      </c>
      <c r="E6" s="268" t="n">
        <v>208482.78</v>
      </c>
      <c r="F6" s="123" t="n">
        <v>427831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702</v>
      </c>
      <c r="K6" s="63">
        <f>IFERROR(E6/J6,0)</f>
        <v/>
      </c>
      <c r="L6" s="125" t="n">
        <v>18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/>
      </c>
      <c r="O6" s="171">
        <f>IFERROR(N6/SUM(J6),0)</f>
        <v/>
      </c>
      <c r="P6" s="259" t="n">
        <v>37093.7</v>
      </c>
      <c r="Q6" s="128">
        <f>SUM(P6/E6)</f>
        <v/>
      </c>
      <c r="R6" s="260" t="n">
        <v>6480.57</v>
      </c>
      <c r="S6" s="128">
        <f>SUM(R6/E6)</f>
        <v/>
      </c>
      <c r="T6" s="129" t="n">
        <v>9451.5</v>
      </c>
      <c r="U6" s="26" t="n"/>
    </row>
    <row r="7" ht="15.6" customHeight="1">
      <c r="A7" s="409" t="inlineStr">
        <is>
          <t>Melrose Arch</t>
        </is>
      </c>
      <c r="B7" s="200">
        <f>'31 Jan - 6 Feb 2022'!E7</f>
        <v/>
      </c>
      <c r="C7" s="73" t="n">
        <v>224075.5</v>
      </c>
      <c r="D7" s="145" t="n">
        <v>178474.03</v>
      </c>
      <c r="E7" s="269" t="n">
        <v>207551.54</v>
      </c>
      <c r="F7" s="145" t="n">
        <v>412265.38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690</v>
      </c>
      <c r="K7" s="63">
        <f>IFERROR(E7/J7,0)</f>
        <v/>
      </c>
      <c r="L7" s="61" t="n">
        <v>58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/>
      </c>
      <c r="O7" s="172">
        <f>IFERROR(N7/SUM(J7),0)</f>
        <v/>
      </c>
      <c r="P7" s="260" t="n">
        <v>26574.13</v>
      </c>
      <c r="Q7" s="89">
        <f>SUM(P7/E7)</f>
        <v/>
      </c>
      <c r="R7" s="260" t="n">
        <v>14144.35</v>
      </c>
      <c r="S7" s="89">
        <f>SUM(R7/E7)</f>
        <v/>
      </c>
      <c r="T7" s="130" t="n">
        <v>11062.1</v>
      </c>
      <c r="U7" s="26" t="n"/>
    </row>
    <row r="8" ht="15.6" customHeight="1">
      <c r="A8" s="409" t="inlineStr">
        <is>
          <t>Melville</t>
        </is>
      </c>
      <c r="B8" s="200">
        <f>'31 Jan - 6 Feb 2022'!E8</f>
        <v/>
      </c>
      <c r="C8" s="73" t="n">
        <v>133786.9</v>
      </c>
      <c r="D8" s="145" t="n">
        <v>110711.04</v>
      </c>
      <c r="E8" s="269" t="n">
        <v>124702.84</v>
      </c>
      <c r="F8" s="145" t="n">
        <v>223358.19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476</v>
      </c>
      <c r="K8" s="63">
        <f>IFERROR(E8/J8,0)</f>
        <v/>
      </c>
      <c r="L8" s="61" t="n">
        <v>17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/>
      </c>
      <c r="O8" s="172">
        <f>IFERROR(N8/SUM(J8),0)</f>
        <v/>
      </c>
      <c r="P8" s="260" t="n">
        <v>45522.7</v>
      </c>
      <c r="Q8" s="89">
        <f>SUM(P8/E8)</f>
        <v/>
      </c>
      <c r="R8" s="260" t="n">
        <v>20098.22</v>
      </c>
      <c r="S8" s="89">
        <f>SUM(R8/E8)</f>
        <v/>
      </c>
      <c r="T8" s="130" t="n">
        <v>4309</v>
      </c>
      <c r="U8" s="26" t="n"/>
    </row>
    <row r="9" ht="15.6" customHeight="1">
      <c r="A9" s="409" t="inlineStr">
        <is>
          <t>Rosebank</t>
        </is>
      </c>
      <c r="B9" s="200">
        <f>'31 Jan - 6 Feb 2022'!E9</f>
        <v/>
      </c>
      <c r="C9" s="73" t="n">
        <v>0</v>
      </c>
      <c r="D9" s="145" t="n">
        <v>198799.16</v>
      </c>
      <c r="E9" s="269" t="n">
        <v>0</v>
      </c>
      <c r="F9" s="145" t="n">
        <v>0</v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>
        <f>'31 Jan - 6 Feb 2022'!E10</f>
        <v/>
      </c>
      <c r="C10" s="73" t="n">
        <v>182605.54</v>
      </c>
      <c r="D10" s="145" t="n">
        <v>135409.77</v>
      </c>
      <c r="E10" s="269" t="n">
        <v>150013.85</v>
      </c>
      <c r="F10" s="145" t="n">
        <v>301575.47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520</v>
      </c>
      <c r="K10" s="63">
        <f>IFERROR(E10/J10,0)</f>
        <v/>
      </c>
      <c r="L10" s="61" t="n">
        <v>43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/>
      </c>
      <c r="O10" s="172">
        <f>IFERROR(N10/SUM(J10),0)</f>
        <v/>
      </c>
      <c r="P10" s="260" t="n">
        <v>52719.96</v>
      </c>
      <c r="Q10" s="89">
        <f>SUM(P10/E10)</f>
        <v/>
      </c>
      <c r="R10" s="260" t="n">
        <v>8519.74</v>
      </c>
      <c r="S10" s="89">
        <f>SUM(R10/E10)</f>
        <v/>
      </c>
      <c r="T10" s="130" t="n">
        <v>5210.3</v>
      </c>
      <c r="U10" s="26" t="n"/>
    </row>
    <row r="11" ht="15.6" customHeight="1">
      <c r="A11" s="409" t="inlineStr">
        <is>
          <t>Eagles Landing</t>
        </is>
      </c>
      <c r="B11" s="200">
        <f>'31 Jan - 6 Feb 2022'!E11</f>
        <v/>
      </c>
      <c r="C11" s="73" t="n">
        <v>308009.72</v>
      </c>
      <c r="D11" s="145" t="n">
        <v>261595.82</v>
      </c>
      <c r="E11" s="269" t="n">
        <v>194781.6</v>
      </c>
      <c r="F11" s="145" t="n">
        <v>391997.1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697</v>
      </c>
      <c r="K11" s="63">
        <f>IFERROR(E11/J11,0)</f>
        <v/>
      </c>
      <c r="L11" s="61" t="n">
        <v>65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9916.85</v>
      </c>
      <c r="U11" s="26" t="n"/>
    </row>
    <row r="12" ht="15.6" customHeight="1">
      <c r="A12" s="198" t="inlineStr">
        <is>
          <t>Stellenbosch</t>
        </is>
      </c>
      <c r="B12" s="200">
        <f>'31 Jan - 6 Feb 2022'!E12</f>
        <v/>
      </c>
      <c r="C12" s="73" t="n">
        <v>160405.7</v>
      </c>
      <c r="D12" s="145" t="n">
        <v>91358.63</v>
      </c>
      <c r="E12" s="269" t="n">
        <v>130813.15</v>
      </c>
      <c r="F12" s="145" t="n">
        <v>259165.89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446</v>
      </c>
      <c r="K12" s="63">
        <f>IFERROR(E12/J12,0)</f>
        <v/>
      </c>
      <c r="L12" s="61" t="n">
        <v>49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/>
      </c>
      <c r="O12" s="172">
        <f>IFERROR(N12/SUM(J12),0)</f>
        <v/>
      </c>
      <c r="P12" s="260" t="n">
        <v>16966.48</v>
      </c>
      <c r="Q12" s="89">
        <f>SUM(P12/E12)</f>
        <v/>
      </c>
      <c r="R12" s="260" t="n">
        <v>14583.25</v>
      </c>
      <c r="S12" s="89">
        <f>SUM(R12/E12)</f>
        <v/>
      </c>
      <c r="T12" s="130" t="n">
        <v>9360</v>
      </c>
      <c r="U12" s="26" t="n"/>
    </row>
    <row r="13" ht="15.6" customHeight="1">
      <c r="A13" s="198" t="inlineStr">
        <is>
          <t>Lynnwood</t>
        </is>
      </c>
      <c r="B13" s="200">
        <f>'31 Jan - 6 Feb 2022'!E13</f>
        <v/>
      </c>
      <c r="C13" s="73" t="n">
        <v>212599.32</v>
      </c>
      <c r="D13" s="145" t="n">
        <v>177641.09</v>
      </c>
      <c r="E13" s="269" t="n">
        <v>192037.69</v>
      </c>
      <c r="F13" s="145" t="n">
        <v>387393.52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759</v>
      </c>
      <c r="K13" s="63">
        <f>IFERROR(E13/J13,0)</f>
        <v/>
      </c>
      <c r="L13" s="61" t="n">
        <v>53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/>
      </c>
      <c r="O13" s="172">
        <f>IFERROR(N13/SUM(J13),0)</f>
        <v/>
      </c>
      <c r="P13" s="260" t="n">
        <v>30876.78</v>
      </c>
      <c r="Q13" s="89">
        <f>SUM(P13/E13)</f>
        <v/>
      </c>
      <c r="R13" s="260" t="n">
        <v>28957.09</v>
      </c>
      <c r="S13" s="89">
        <f>SUM(R13/E13)</f>
        <v/>
      </c>
      <c r="T13" s="130" t="n">
        <v>6027</v>
      </c>
      <c r="U13" s="26" t="n"/>
    </row>
    <row r="14" hidden="1" ht="15.6" customHeight="1">
      <c r="A14" s="198" t="inlineStr">
        <is>
          <t>Wellington</t>
        </is>
      </c>
      <c r="B14" s="200">
        <f>'31 Jan - 6 Feb 2022'!E14</f>
        <v/>
      </c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>
        <f>'31 Jan - 6 Feb 2022'!E15</f>
        <v/>
      </c>
      <c r="C15" s="73" t="n">
        <v>209317.26</v>
      </c>
      <c r="D15" s="145" t="n">
        <v>182308.79</v>
      </c>
      <c r="E15" s="269" t="n">
        <v>259704.01</v>
      </c>
      <c r="F15" s="145" t="n">
        <v>477525.48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885</v>
      </c>
      <c r="K15" s="63">
        <f>IFERROR(E15/J15,0)</f>
        <v/>
      </c>
      <c r="L15" s="61" t="n">
        <v>36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21920.43</v>
      </c>
      <c r="S15" s="89">
        <f>SUM(R15/E15)</f>
        <v/>
      </c>
      <c r="T15" s="130" t="n">
        <v>1732.5</v>
      </c>
      <c r="U15" s="9" t="n"/>
    </row>
    <row r="16" ht="15.6" customHeight="1">
      <c r="A16" s="198" t="inlineStr">
        <is>
          <t>Kyalami Corner</t>
        </is>
      </c>
      <c r="B16" s="200">
        <f>'31 Jan - 6 Feb 2022'!E16</f>
        <v/>
      </c>
      <c r="C16" s="73" t="n">
        <v>180239.49</v>
      </c>
      <c r="D16" s="145" t="n">
        <v>129098.68</v>
      </c>
      <c r="E16" s="269" t="n">
        <v>137113.72</v>
      </c>
      <c r="F16" s="145" t="n">
        <v>258556.16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506</v>
      </c>
      <c r="K16" s="63">
        <f>IFERROR(E16/J16,0)</f>
        <v/>
      </c>
      <c r="L16" s="61" t="n">
        <v>14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/>
      </c>
      <c r="O16" s="172">
        <f>IFERROR(N16/SUM(J16),0)</f>
        <v/>
      </c>
      <c r="P16" s="260" t="n">
        <v>33330.24</v>
      </c>
      <c r="Q16" s="89">
        <f>SUM(P16/E16)</f>
        <v/>
      </c>
      <c r="R16" s="260" t="n">
        <v>18156.09</v>
      </c>
      <c r="S16" s="89">
        <f>SUM(R16/E16)</f>
        <v/>
      </c>
      <c r="T16" s="130" t="n">
        <v>5118.35</v>
      </c>
      <c r="U16" s="9" t="n"/>
      <c r="X16" s="238" t="n"/>
    </row>
    <row r="17" ht="15.6" customHeight="1">
      <c r="A17" s="198" t="inlineStr">
        <is>
          <t>Paulshof</t>
        </is>
      </c>
      <c r="B17" s="200">
        <f>'31 Jan - 6 Feb 2022'!E17</f>
        <v/>
      </c>
      <c r="C17" s="73" t="n">
        <v>209714.26</v>
      </c>
      <c r="D17" s="145" t="n">
        <v>160471.09</v>
      </c>
      <c r="E17" s="269" t="n">
        <v>171421.97</v>
      </c>
      <c r="F17" s="145" t="n">
        <v>345287.55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671</v>
      </c>
      <c r="K17" s="63">
        <f>IFERROR(E17/J17,0)</f>
        <v/>
      </c>
      <c r="L17" s="61" t="n">
        <v>47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/>
      </c>
      <c r="O17" s="172">
        <f>IFERROR(N17/SUM(J17),0)</f>
        <v/>
      </c>
      <c r="P17" s="260" t="n">
        <v>32092.96</v>
      </c>
      <c r="Q17" s="89">
        <f>SUM(P17/E17)</f>
        <v/>
      </c>
      <c r="R17" s="260" t="n">
        <v>20615.7</v>
      </c>
      <c r="S17" s="89">
        <f>SUM(R17/E17)</f>
        <v/>
      </c>
      <c r="T17" s="130" t="n">
        <v>4993.95</v>
      </c>
      <c r="U17" s="9" t="n"/>
    </row>
    <row r="18" ht="15.6" customHeight="1">
      <c r="A18" s="198" t="inlineStr">
        <is>
          <t>Queenswood</t>
        </is>
      </c>
      <c r="B18" s="200">
        <f>'31 Jan - 6 Feb 2022'!E18</f>
        <v/>
      </c>
      <c r="C18" s="73" t="n">
        <v>175278.96</v>
      </c>
      <c r="D18" s="73" t="n">
        <v>159619.59</v>
      </c>
      <c r="E18" s="269" t="n">
        <v>176783.81</v>
      </c>
      <c r="F18" s="145" t="n">
        <v>343247.81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666</v>
      </c>
      <c r="K18" s="63">
        <f>IFERROR(E18/J18,0)</f>
        <v/>
      </c>
      <c r="L18" s="61" t="n">
        <v>77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/>
      </c>
      <c r="O18" s="172">
        <f>IFERROR(N18/SUM(J18),0)</f>
        <v/>
      </c>
      <c r="P18" s="260" t="n">
        <v>23437.55</v>
      </c>
      <c r="Q18" s="89">
        <f>SUM(P18/E18)</f>
        <v/>
      </c>
      <c r="R18" s="260" t="n">
        <v>11850.16</v>
      </c>
      <c r="S18" s="89">
        <f>SUM(R18/E18)</f>
        <v/>
      </c>
      <c r="T18" s="130" t="n">
        <v>4427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208482.78</v>
      </c>
      <c r="C6" s="255" t="n">
        <v>222786.1739130435</v>
      </c>
      <c r="D6" s="197" t="n">
        <v>165183.5652173913</v>
      </c>
      <c r="E6" s="268" t="n">
        <v>253875.9739130435</v>
      </c>
      <c r="F6" s="123">
        <f>427831+E6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149" t="n">
        <v>819</v>
      </c>
      <c r="K6" s="63">
        <f>IFERROR(E6/J6,0)</f>
        <v/>
      </c>
      <c r="L6" s="125" t="n">
        <v>3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/>
      </c>
      <c r="O6" s="171">
        <f>IFERROR(N6/SUM(J6),0)</f>
        <v/>
      </c>
      <c r="P6" s="259" t="n">
        <v>37900</v>
      </c>
      <c r="Q6" s="128">
        <f>SUM(P6/E6)</f>
        <v/>
      </c>
      <c r="R6" s="260" t="n">
        <v>9410</v>
      </c>
      <c r="S6" s="128">
        <f>SUM(R6/E6)</f>
        <v/>
      </c>
      <c r="T6" s="129" t="n">
        <v>11094</v>
      </c>
      <c r="U6" s="26" t="n"/>
    </row>
    <row r="7" ht="15.6" customHeight="1">
      <c r="A7" s="409" t="inlineStr">
        <is>
          <t>Melrose Arch</t>
        </is>
      </c>
      <c r="B7" s="200" t="n">
        <v>207551.54</v>
      </c>
      <c r="C7" s="73" t="n">
        <v>232321.4086956522</v>
      </c>
      <c r="D7" s="145" t="n">
        <v>184483.5217391304</v>
      </c>
      <c r="E7" s="269" t="n">
        <v>238583.5826086957</v>
      </c>
      <c r="F7" s="145">
        <f>412265.38+E7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150" t="n">
        <v>818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/>
      </c>
      <c r="O7" s="172">
        <f>IFERROR(N7/SUM(J7),0)</f>
        <v/>
      </c>
      <c r="P7" s="260" t="n">
        <v>44587</v>
      </c>
      <c r="Q7" s="89">
        <f>SUM(P7/E7)</f>
        <v/>
      </c>
      <c r="R7" s="260" t="n">
        <v>24691</v>
      </c>
      <c r="S7" s="89">
        <f>SUM(R7/E7)</f>
        <v/>
      </c>
      <c r="T7" s="130" t="n">
        <v>12204</v>
      </c>
      <c r="U7" s="26" t="n"/>
    </row>
    <row r="8" ht="15.6" customHeight="1">
      <c r="A8" s="409" t="inlineStr">
        <is>
          <t>Melville</t>
        </is>
      </c>
      <c r="B8" s="200" t="n">
        <v>124702.84</v>
      </c>
      <c r="C8" s="73" t="n">
        <v>89875.52173913045</v>
      </c>
      <c r="D8" s="145" t="n">
        <v>99311.98260869566</v>
      </c>
      <c r="E8" s="269" t="n">
        <v>126222.6782608696</v>
      </c>
      <c r="F8" s="145">
        <f>223358.19+E8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150" t="n">
        <v>499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/>
      </c>
      <c r="O8" s="172">
        <f>IFERROR(N8/SUM(J8),0)</f>
        <v/>
      </c>
      <c r="P8" s="260" t="n">
        <v>62294</v>
      </c>
      <c r="Q8" s="89">
        <f>SUM(P8/E8)</f>
        <v/>
      </c>
      <c r="R8" s="260" t="n">
        <v>18063</v>
      </c>
      <c r="S8" s="89">
        <f>SUM(R8/E8)</f>
        <v/>
      </c>
      <c r="T8" s="130" t="n">
        <v>4246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269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150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13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150013.85</v>
      </c>
      <c r="C10" s="73" t="n">
        <v>172889.5652173913</v>
      </c>
      <c r="D10" s="145" t="n">
        <v>122542.3826086957</v>
      </c>
      <c r="E10" s="269" t="n">
        <v>184217.4608695652</v>
      </c>
      <c r="F10" s="145">
        <f>301575.47+E10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150" t="n">
        <v>605</v>
      </c>
      <c r="K10" s="63">
        <f>IFERROR(E10/J10,0)</f>
        <v/>
      </c>
      <c r="L10" s="61" t="n">
        <v>10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/>
      </c>
      <c r="O10" s="172">
        <f>IFERROR(N10/SUM(J10),0)</f>
        <v/>
      </c>
      <c r="P10" s="260" t="n">
        <v>15998</v>
      </c>
      <c r="Q10" s="89">
        <f>SUM(P10/E10)</f>
        <v/>
      </c>
      <c r="R10" s="260" t="n">
        <v>42053</v>
      </c>
      <c r="S10" s="89">
        <f>SUM(R10/E10)</f>
        <v/>
      </c>
      <c r="T10" s="130" t="n">
        <v>6752</v>
      </c>
      <c r="U10" s="26" t="n"/>
    </row>
    <row r="11" ht="15.6" customHeight="1">
      <c r="A11" s="409" t="inlineStr">
        <is>
          <t>Eagles Landing</t>
        </is>
      </c>
      <c r="B11" s="200" t="n">
        <v>194781.6</v>
      </c>
      <c r="C11" s="73" t="n">
        <v>295782.8521739131</v>
      </c>
      <c r="D11" s="145" t="n">
        <v>221002.5652173913</v>
      </c>
      <c r="E11" s="269" t="n">
        <v>230889.7739130435</v>
      </c>
      <c r="F11" s="145">
        <f>391997.1+E11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150" t="n">
        <v>794</v>
      </c>
      <c r="K11" s="63">
        <f>IFERROR(E11/J11,0)</f>
        <v/>
      </c>
      <c r="L11" s="61" t="n">
        <v>17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/>
      </c>
      <c r="O11" s="172">
        <f>IFERROR(N11/SUM(J11),0)</f>
        <v/>
      </c>
      <c r="P11" s="260" t="n">
        <v>36746.87</v>
      </c>
      <c r="Q11" s="89">
        <f>SUM(P11/E11)</f>
        <v/>
      </c>
      <c r="R11" s="260" t="n">
        <v>16898.48</v>
      </c>
      <c r="S11" s="89">
        <f>SUM(R11/E11)</f>
        <v/>
      </c>
      <c r="T11" s="130" t="n">
        <v>9122</v>
      </c>
      <c r="U11" s="26" t="n"/>
    </row>
    <row r="12" ht="15.6" customHeight="1">
      <c r="A12" s="198" t="inlineStr">
        <is>
          <t>Stellenbosch</t>
        </is>
      </c>
      <c r="B12" s="200" t="n">
        <v>130813.15</v>
      </c>
      <c r="C12" s="73" t="n">
        <v>155166.5217391304</v>
      </c>
      <c r="D12" s="145" t="n">
        <v>88183.64999999999</v>
      </c>
      <c r="E12" s="269" t="n">
        <v>133779.5217391305</v>
      </c>
      <c r="F12" s="145">
        <f>259165.89+E12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150" t="n">
        <v>502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/>
      </c>
      <c r="O12" s="172">
        <f>IFERROR(N12/SUM(J12),0)</f>
        <v/>
      </c>
      <c r="P12" s="260" t="n">
        <v>15096</v>
      </c>
      <c r="Q12" s="89">
        <f>SUM(P12/E12)</f>
        <v/>
      </c>
      <c r="R12" s="260" t="n">
        <v>17471</v>
      </c>
      <c r="S12" s="89">
        <f>SUM(R12/E12)</f>
        <v/>
      </c>
      <c r="T12" s="130" t="n">
        <v>9915</v>
      </c>
      <c r="U12" s="26" t="n"/>
    </row>
    <row r="13" ht="15.6" customHeight="1">
      <c r="A13" s="198" t="inlineStr">
        <is>
          <t>Lynnwood</t>
        </is>
      </c>
      <c r="B13" s="200" t="n">
        <v>192037.69</v>
      </c>
      <c r="C13" s="73" t="n">
        <v>207016.9130434783</v>
      </c>
      <c r="D13" s="145" t="n">
        <v>149053.6956521739</v>
      </c>
      <c r="E13" s="269" t="n">
        <v>222605.4782608696</v>
      </c>
      <c r="F13" s="145">
        <f>387393.52+E13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150" t="n">
        <v>798</v>
      </c>
      <c r="K13" s="63">
        <f>IFERROR(E13/J13,0)</f>
        <v/>
      </c>
      <c r="L13" s="61" t="n">
        <v>4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/>
      </c>
      <c r="O13" s="172">
        <f>IFERROR(N13/SUM(J13),0)</f>
        <v/>
      </c>
      <c r="P13" s="260" t="n">
        <v>43309</v>
      </c>
      <c r="Q13" s="89">
        <f>SUM(P13/E13)</f>
        <v/>
      </c>
      <c r="R13" s="260" t="n">
        <v>33736</v>
      </c>
      <c r="S13" s="89">
        <f>SUM(R13/E13)</f>
        <v/>
      </c>
      <c r="T13" s="130" t="n">
        <v>5132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269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150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/>
      </c>
      <c r="O14" s="172">
        <f>IFERROR(N14/SUM(J14),0)</f>
        <v/>
      </c>
      <c r="P14" s="247" t="n"/>
      <c r="Q14" s="89">
        <f>SUM(P14/E14)</f>
        <v/>
      </c>
      <c r="R14" s="260" t="n"/>
      <c r="S14" s="89">
        <f>SUM(R14/E14)</f>
        <v/>
      </c>
      <c r="T14" s="130" t="n"/>
      <c r="U14" s="26" t="n"/>
    </row>
    <row r="15" ht="15.6" customHeight="1">
      <c r="A15" s="198" t="inlineStr">
        <is>
          <t>Hartenbos</t>
        </is>
      </c>
      <c r="B15" s="200" t="n">
        <v>259704.01</v>
      </c>
      <c r="C15" s="73" t="n">
        <v>186666.2608695652</v>
      </c>
      <c r="D15" s="145" t="n">
        <v>156007.6521739131</v>
      </c>
      <c r="E15" s="269" t="n">
        <v>257898</v>
      </c>
      <c r="F15" s="145">
        <f>477525.48+E15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150" t="n">
        <v>861</v>
      </c>
      <c r="K15" s="63">
        <f>IFERROR(E15/J15,0)</f>
        <v/>
      </c>
      <c r="L15" s="61" t="n">
        <v>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27691</v>
      </c>
      <c r="S15" s="89">
        <f>SUM(R15/E15)</f>
        <v/>
      </c>
      <c r="T15" s="130" t="n">
        <v>2313</v>
      </c>
      <c r="U15" s="9" t="n"/>
    </row>
    <row r="16" ht="15.6" customHeight="1">
      <c r="A16" s="198" t="inlineStr">
        <is>
          <t>Kyalami Corner</t>
        </is>
      </c>
      <c r="B16" s="200" t="n">
        <v>137113.72</v>
      </c>
      <c r="C16" s="73" t="n">
        <v>120537</v>
      </c>
      <c r="D16" s="145" t="n">
        <v>102794.6086956522</v>
      </c>
      <c r="E16" s="269" t="n">
        <v>142871.2434782609</v>
      </c>
      <c r="F16" s="145">
        <f>258556.16+E16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150" t="n">
        <v>562</v>
      </c>
      <c r="K16" s="63">
        <f>IFERROR(E16/J16,0)</f>
        <v/>
      </c>
      <c r="L16" s="61" t="n">
        <v>2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/>
      </c>
      <c r="O16" s="172">
        <f>IFERROR(N16/SUM(J16),0)</f>
        <v/>
      </c>
      <c r="P16" s="260" t="n">
        <v>38281</v>
      </c>
      <c r="Q16" s="89">
        <f>SUM(P16/E16)</f>
        <v/>
      </c>
      <c r="R16" s="260" t="n">
        <v>31354</v>
      </c>
      <c r="S16" s="89">
        <f>SUM(R16/E16)</f>
        <v/>
      </c>
      <c r="T16" s="130" t="n">
        <v>5539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171421.97</v>
      </c>
      <c r="C17" s="73" t="n">
        <v>194446.347826087</v>
      </c>
      <c r="D17" s="145" t="n">
        <v>154232.3826086957</v>
      </c>
      <c r="E17" s="269" t="n">
        <v>170930.7304347826</v>
      </c>
      <c r="F17" s="145">
        <f>345287.55+E17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150" t="n">
        <v>653</v>
      </c>
      <c r="K17" s="63">
        <f>IFERROR(E17/J17,0)</f>
        <v/>
      </c>
      <c r="L17" s="61" t="n">
        <v>3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/>
      </c>
      <c r="O17" s="172">
        <f>IFERROR(N17/SUM(J17),0)</f>
        <v/>
      </c>
      <c r="P17" s="260" t="n">
        <v>50025</v>
      </c>
      <c r="Q17" s="89">
        <f>SUM(P17/E17)</f>
        <v/>
      </c>
      <c r="R17" s="260" t="n">
        <v>20615.7</v>
      </c>
      <c r="S17" s="89">
        <f>SUM(R17/E17)</f>
        <v/>
      </c>
      <c r="T17" s="130" t="n">
        <v>6476</v>
      </c>
      <c r="U17" s="9" t="n"/>
    </row>
    <row r="18" ht="15.6" customHeight="1">
      <c r="A18" s="198" t="inlineStr">
        <is>
          <t>Queenswood</t>
        </is>
      </c>
      <c r="B18" s="200" t="n">
        <v>176783.81</v>
      </c>
      <c r="C18" s="73" t="n">
        <v>165432.747826087</v>
      </c>
      <c r="D18" s="73" t="n">
        <v>137702.5826086957</v>
      </c>
      <c r="E18" s="269" t="n">
        <v>179012.7652173913</v>
      </c>
      <c r="F18" s="145">
        <f>343247.81+E18</f>
        <v/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150" t="n">
        <v>655</v>
      </c>
      <c r="K18" s="63">
        <f>IFERROR(E18/J18,0)</f>
        <v/>
      </c>
      <c r="L18" s="61" t="n">
        <v>11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/>
      </c>
      <c r="O18" s="172">
        <f>IFERROR(N18/SUM(J18),0)</f>
        <v/>
      </c>
      <c r="P18" s="260" t="n">
        <v>16719</v>
      </c>
      <c r="Q18" s="89">
        <f>SUM(P18/E18)</f>
        <v/>
      </c>
      <c r="R18" s="260" t="n">
        <v>28397</v>
      </c>
      <c r="S18" s="89">
        <f>SUM(R18/E18)</f>
        <v/>
      </c>
      <c r="T18" s="130" t="n">
        <v>5591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4" operator="equal" dxfId="0">
      <formula>0</formula>
    </cfRule>
  </conditionalFormatting>
  <conditionalFormatting sqref="D7:F19">
    <cfRule type="cellIs" priority="1" operator="equal" dxfId="0">
      <formula>0</formula>
    </cfRule>
  </conditionalFormatting>
  <conditionalFormatting sqref="G6:T19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253875.9739130435</v>
      </c>
      <c r="C6" s="255" t="n">
        <v>222786.1739130435</v>
      </c>
      <c r="D6" s="197" t="n">
        <v>165183.5652173913</v>
      </c>
      <c r="E6" s="145" t="n">
        <v>239048.72</v>
      </c>
      <c r="F6" s="123" t="n">
        <v>920756.1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755</v>
      </c>
      <c r="K6" s="63">
        <f>IFERROR(E6/J6,0)</f>
        <v/>
      </c>
      <c r="L6" s="125" t="n">
        <v>10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/>
      </c>
      <c r="O6" s="171">
        <f>IFERROR(N6/SUM(J6),0)</f>
        <v/>
      </c>
      <c r="P6" s="260" t="n">
        <v>35710.87</v>
      </c>
      <c r="Q6" s="128">
        <f>SUM(P6/E6)</f>
        <v/>
      </c>
      <c r="R6" s="260" t="n">
        <v>15598.77</v>
      </c>
      <c r="S6" s="128">
        <f>SUM(R6/E6)</f>
        <v/>
      </c>
      <c r="T6" s="260" t="n">
        <v>5641.2</v>
      </c>
      <c r="U6" s="26" t="n"/>
    </row>
    <row r="7" ht="15.6" customHeight="1">
      <c r="A7" s="409" t="inlineStr">
        <is>
          <t>Melrose Arch</t>
        </is>
      </c>
      <c r="B7" s="200" t="n">
        <v>238583.5826086957</v>
      </c>
      <c r="C7" s="73" t="n">
        <v>232321.4086956522</v>
      </c>
      <c r="D7" s="145" t="n">
        <v>184483.5217391304</v>
      </c>
      <c r="E7" s="145" t="n">
        <v>243180.16</v>
      </c>
      <c r="F7" s="145" t="n">
        <v>894029.3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834</v>
      </c>
      <c r="K7" s="63">
        <f>IFERROR(E7/J7,0)</f>
        <v/>
      </c>
      <c r="L7" s="61" t="n">
        <v>3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/>
      </c>
      <c r="O7" s="172">
        <f>IFERROR(N7/SUM(J7),0)</f>
        <v/>
      </c>
      <c r="P7" s="260" t="n">
        <v>49641.38</v>
      </c>
      <c r="Q7" s="89">
        <f>SUM(P7/E7)</f>
        <v/>
      </c>
      <c r="R7" s="260" t="n">
        <v>28050.75</v>
      </c>
      <c r="S7" s="89">
        <f>SUM(R7/E7)</f>
        <v/>
      </c>
      <c r="T7" s="260" t="n">
        <v>11816.98</v>
      </c>
      <c r="U7" s="26" t="n"/>
    </row>
    <row r="8" ht="15.6" customHeight="1">
      <c r="A8" s="409" t="inlineStr">
        <is>
          <t>Melville</t>
        </is>
      </c>
      <c r="B8" s="200" t="n">
        <v>126222.6782608696</v>
      </c>
      <c r="C8" s="73" t="n">
        <v>89875.52173913045</v>
      </c>
      <c r="D8" s="145" t="n">
        <v>99311.98260869566</v>
      </c>
      <c r="E8" s="145" t="n">
        <v>135782.1</v>
      </c>
      <c r="F8" s="145" t="n">
        <v>473722.6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534</v>
      </c>
      <c r="K8" s="63">
        <f>IFERROR(E8/J8,0)</f>
        <v/>
      </c>
      <c r="L8" s="61" t="n">
        <v>1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/>
      </c>
      <c r="O8" s="172">
        <f>IFERROR(N8/SUM(J8),0)</f>
        <v/>
      </c>
      <c r="P8" s="260" t="n">
        <v>77794.91</v>
      </c>
      <c r="Q8" s="89">
        <f>SUM(P8/E8)</f>
        <v/>
      </c>
      <c r="R8" s="260" t="n">
        <v>14877.52</v>
      </c>
      <c r="S8" s="89">
        <f>SUM(R8/E8)</f>
        <v/>
      </c>
      <c r="T8" s="260" t="n">
        <v>3864.75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>
        <v>0</v>
      </c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184217.4608695652</v>
      </c>
      <c r="C10" s="73" t="n">
        <v>172889.5652173913</v>
      </c>
      <c r="D10" s="145" t="n">
        <v>122542.3826086957</v>
      </c>
      <c r="E10" s="145" t="n">
        <v>146542.06</v>
      </c>
      <c r="F10" s="145" t="n">
        <v>632335.1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/>
      </c>
      <c r="O10" s="172">
        <f>IFERROR(N10/SUM(J10),0)</f>
        <v/>
      </c>
      <c r="P10" s="260" t="n">
        <v>41416.28</v>
      </c>
      <c r="Q10" s="89">
        <f>SUM(P10/E10)</f>
        <v/>
      </c>
      <c r="R10" s="260" t="n">
        <v>9968.9</v>
      </c>
      <c r="S10" s="89">
        <f>SUM(R10/E10)</f>
        <v/>
      </c>
      <c r="T10" s="260" t="n">
        <v>5516.5</v>
      </c>
      <c r="U10" s="26" t="n"/>
    </row>
    <row r="11" ht="15.6" customHeight="1">
      <c r="A11" s="409" t="inlineStr">
        <is>
          <t>Eagles Landing</t>
        </is>
      </c>
      <c r="B11" s="200" t="n">
        <v>230889.7739130435</v>
      </c>
      <c r="C11" s="73" t="n">
        <v>295782.8521739131</v>
      </c>
      <c r="D11" s="145" t="n">
        <v>221002.5652173913</v>
      </c>
      <c r="E11" s="145" t="n">
        <v>232444.11</v>
      </c>
      <c r="F11" s="145" t="n">
        <v>855331.3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6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/>
      </c>
      <c r="O11" s="172">
        <f>IFERROR(N11/SUM(J11),0)</f>
        <v/>
      </c>
      <c r="P11" s="260" t="n">
        <v>28023.05</v>
      </c>
      <c r="Q11" s="89">
        <f>SUM(P11/E11)</f>
        <v/>
      </c>
      <c r="R11" s="260" t="n">
        <v>45284.1</v>
      </c>
      <c r="S11" s="89">
        <f>SUM(R11/E11)</f>
        <v/>
      </c>
      <c r="T11" s="260" t="n">
        <v>11790.05</v>
      </c>
      <c r="U11" s="26" t="n"/>
    </row>
    <row r="12" ht="15.6" customHeight="1">
      <c r="A12" s="198" t="inlineStr">
        <is>
          <t>Stellenbosch</t>
        </is>
      </c>
      <c r="B12" s="200" t="n">
        <v>133779.5217391305</v>
      </c>
      <c r="C12" s="73" t="n">
        <v>155166.5217391304</v>
      </c>
      <c r="D12" s="145" t="n">
        <v>88183.64999999999</v>
      </c>
      <c r="E12" s="145" t="n">
        <v>131242.27</v>
      </c>
      <c r="F12" s="145" t="n">
        <v>524144.4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472</v>
      </c>
      <c r="K12" s="63">
        <f>IFERROR(E12/J12,0)</f>
        <v/>
      </c>
      <c r="L12" s="61" t="n">
        <v>0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/>
      </c>
      <c r="O12" s="172">
        <f>IFERROR(N12/SUM(J12),0)</f>
        <v/>
      </c>
      <c r="P12" s="260" t="n">
        <v>18954.42</v>
      </c>
      <c r="Q12" s="89">
        <f>SUM(P12/E12)</f>
        <v/>
      </c>
      <c r="R12" s="260" t="n">
        <v>26314.05</v>
      </c>
      <c r="S12" s="89">
        <f>SUM(R12/E12)</f>
        <v/>
      </c>
      <c r="T12" s="260" t="n">
        <v>7936</v>
      </c>
      <c r="U12" s="26" t="n"/>
    </row>
    <row r="13" ht="15.6" customHeight="1">
      <c r="A13" s="198" t="inlineStr">
        <is>
          <t>Lynnwood</t>
        </is>
      </c>
      <c r="B13" s="200" t="n">
        <v>222605.4782608696</v>
      </c>
      <c r="C13" s="73" t="n">
        <v>207016.9130434783</v>
      </c>
      <c r="D13" s="145" t="n">
        <v>149053.6956521739</v>
      </c>
      <c r="E13" s="145" t="n">
        <v>220664.45</v>
      </c>
      <c r="F13" s="145" t="n">
        <v>830642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805</v>
      </c>
      <c r="K13" s="63">
        <f>IFERROR(E13/J13,0)</f>
        <v/>
      </c>
      <c r="L13" s="61" t="n">
        <v>10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/>
      </c>
      <c r="O13" s="172">
        <f>IFERROR(N13/SUM(J13),0)</f>
        <v/>
      </c>
      <c r="P13" s="260" t="n">
        <v>41436.25</v>
      </c>
      <c r="Q13" s="89">
        <f>SUM(P13/E13)</f>
        <v/>
      </c>
      <c r="R13" s="260" t="n">
        <v>21298.6</v>
      </c>
      <c r="S13" s="89">
        <f>SUM(R13/E13)</f>
        <v/>
      </c>
      <c r="T13" s="260" t="n">
        <v>5995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257898</v>
      </c>
      <c r="C15" s="73" t="n">
        <v>186666.2608695652</v>
      </c>
      <c r="D15" s="145" t="n">
        <v>156007.6521739131</v>
      </c>
      <c r="E15" s="145" t="n">
        <v>243303.6</v>
      </c>
      <c r="F15" s="145" t="n">
        <v>978727.7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850</v>
      </c>
      <c r="K15" s="63">
        <f>IFERROR(E15/J15,0)</f>
        <v/>
      </c>
      <c r="L15" s="61" t="n">
        <v>17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30622.5</v>
      </c>
      <c r="S15" s="89">
        <f>SUM(R15/E15)</f>
        <v/>
      </c>
      <c r="T15" s="260" t="n">
        <v>2806.4</v>
      </c>
      <c r="U15" s="9" t="n"/>
    </row>
    <row r="16" ht="15.6" customHeight="1">
      <c r="A16" s="198" t="inlineStr">
        <is>
          <t>Kyalami Corner</t>
        </is>
      </c>
      <c r="B16" s="200" t="n">
        <v>142871.2434782609</v>
      </c>
      <c r="C16" s="73" t="n">
        <v>120537</v>
      </c>
      <c r="D16" s="145" t="n">
        <v>102794.6086956522</v>
      </c>
      <c r="E16" s="145" t="n">
        <v>152682.18</v>
      </c>
      <c r="F16" s="145" t="n">
        <v>554132.6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535</v>
      </c>
      <c r="K16" s="63">
        <f>IFERROR(E16/J16,0)</f>
        <v/>
      </c>
      <c r="L16" s="61" t="n">
        <v>7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/>
      </c>
      <c r="O16" s="172">
        <f>IFERROR(N16/SUM(J16),0)</f>
        <v/>
      </c>
      <c r="P16" s="260" t="n">
        <v>39266.25</v>
      </c>
      <c r="Q16" s="89">
        <f>SUM(P16/E16)</f>
        <v/>
      </c>
      <c r="R16" s="260" t="n">
        <v>27748.3</v>
      </c>
      <c r="S16" s="89">
        <f>SUM(R16/E16)</f>
        <v/>
      </c>
      <c r="T16" s="260" t="n">
        <v>6842.5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170930.7304347826</v>
      </c>
      <c r="C17" s="73" t="n">
        <v>194446.347826087</v>
      </c>
      <c r="D17" s="145" t="n">
        <v>154232.3826086957</v>
      </c>
      <c r="E17" s="145" t="n">
        <v>205896.16</v>
      </c>
      <c r="F17" s="145" t="n">
        <v>722144.6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732</v>
      </c>
      <c r="K17" s="63">
        <f>IFERROR(E17/J17,0)</f>
        <v/>
      </c>
      <c r="L17" s="61" t="n">
        <v>7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/>
      </c>
      <c r="O17" s="172">
        <f>IFERROR(N17/SUM(J17),0)</f>
        <v/>
      </c>
      <c r="P17" s="260" t="n">
        <v>51091.8</v>
      </c>
      <c r="Q17" s="89">
        <f>SUM(P17/E17)</f>
        <v/>
      </c>
      <c r="R17" s="260" t="n">
        <v>31416.1</v>
      </c>
      <c r="S17" s="89">
        <f>SUM(R17/E17)</f>
        <v/>
      </c>
      <c r="T17" s="260" t="n">
        <v>4998</v>
      </c>
      <c r="U17" s="9" t="n"/>
    </row>
    <row r="18" ht="15.6" customHeight="1">
      <c r="A18" s="198" t="inlineStr">
        <is>
          <t>Queenswood</t>
        </is>
      </c>
      <c r="B18" s="200" t="n">
        <v>179012.7652173913</v>
      </c>
      <c r="C18" s="73" t="n">
        <v>165432.747826087</v>
      </c>
      <c r="D18" s="73" t="n">
        <v>137702.5826086957</v>
      </c>
      <c r="E18" s="145" t="n">
        <v>158701.21</v>
      </c>
      <c r="F18" s="145" t="n">
        <v>680962.2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572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/>
      </c>
      <c r="O18" s="172">
        <f>IFERROR(N18/SUM(J18),0)</f>
        <v/>
      </c>
      <c r="P18" s="260" t="n">
        <v>17331.83</v>
      </c>
      <c r="Q18" s="89">
        <f>SUM(P18/E18)</f>
        <v/>
      </c>
      <c r="R18" s="260" t="n">
        <v>11936</v>
      </c>
      <c r="S18" s="89">
        <f>SUM(R18/E18)</f>
        <v/>
      </c>
      <c r="T18" s="260" t="n">
        <v>4445.5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71" t="n"/>
      <c r="U5" s="25" t="n"/>
    </row>
    <row r="6" ht="16.5" customHeight="1">
      <c r="A6" s="408" t="inlineStr">
        <is>
          <t>Irene Village</t>
        </is>
      </c>
      <c r="B6" s="200" t="n">
        <v>239048.72</v>
      </c>
      <c r="C6" s="255" t="n">
        <v>224764.48</v>
      </c>
      <c r="D6" s="197" t="n">
        <v>183695.4</v>
      </c>
      <c r="E6" s="145" t="n">
        <v>218365.71</v>
      </c>
      <c r="F6" s="123" t="n">
        <v>205538.15</v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73" t="n">
        <v>731</v>
      </c>
      <c r="K6" s="63">
        <f>IFERROR(E6/J6,0)</f>
        <v/>
      </c>
      <c r="L6" s="125" t="n">
        <v>9</v>
      </c>
      <c r="M6" s="126">
        <f>IFERROR(L6/J6,0)</f>
        <v/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/>
      </c>
      <c r="O6" s="171">
        <f>IFERROR(N6/SUM(J6),0)</f>
        <v/>
      </c>
      <c r="P6" s="260" t="n">
        <v>37989.24</v>
      </c>
      <c r="Q6" s="128">
        <f>SUM(P6/E6)</f>
        <v/>
      </c>
      <c r="R6" s="260" t="n">
        <v>10792.75</v>
      </c>
      <c r="S6" s="128">
        <f>SUM(R6/E6)</f>
        <v/>
      </c>
      <c r="T6" s="260" t="n">
        <v>10300.85</v>
      </c>
      <c r="U6" s="26" t="n"/>
    </row>
    <row r="7" ht="15.6" customHeight="1">
      <c r="A7" s="409" t="inlineStr">
        <is>
          <t>Melrose Arch</t>
        </is>
      </c>
      <c r="B7" s="200" t="n">
        <v>243180.16</v>
      </c>
      <c r="C7" s="73" t="n">
        <v>174386.4</v>
      </c>
      <c r="D7" s="145" t="n">
        <v>216682.01</v>
      </c>
      <c r="E7" s="145" t="n">
        <v>205166.89</v>
      </c>
      <c r="F7" s="145" t="n">
        <v>189745.19</v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732</v>
      </c>
      <c r="K7" s="63">
        <f>IFERROR(E7/J7,0)</f>
        <v/>
      </c>
      <c r="L7" s="61" t="n">
        <v>6</v>
      </c>
      <c r="M7" s="28">
        <f>IFERROR(L7/J7,0)</f>
        <v/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/>
      </c>
      <c r="O7" s="172">
        <f>IFERROR(N7/SUM(J7),0)</f>
        <v/>
      </c>
      <c r="P7" s="260" t="n">
        <v>46525.1</v>
      </c>
      <c r="Q7" s="89">
        <f>SUM(P7/E7)</f>
        <v/>
      </c>
      <c r="R7" s="260" t="n">
        <v>17810.5</v>
      </c>
      <c r="S7" s="89">
        <f>SUM(R7/E7)</f>
        <v/>
      </c>
      <c r="T7" s="260" t="n">
        <v>10756</v>
      </c>
      <c r="U7" s="26" t="n"/>
    </row>
    <row r="8" ht="15.6" customHeight="1">
      <c r="A8" s="409" t="inlineStr">
        <is>
          <t>Melville</t>
        </is>
      </c>
      <c r="B8" s="200" t="n">
        <v>135782.1</v>
      </c>
      <c r="C8" s="73" t="n">
        <v>106995.52</v>
      </c>
      <c r="D8" s="145" t="n">
        <v>115000</v>
      </c>
      <c r="E8" s="145" t="n">
        <v>144923.59</v>
      </c>
      <c r="F8" s="145" t="n">
        <v>132288.72</v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547</v>
      </c>
      <c r="K8" s="63">
        <f>IFERROR(E8/J8,0)</f>
        <v/>
      </c>
      <c r="L8" s="61" t="n">
        <v>0</v>
      </c>
      <c r="M8" s="28">
        <f>IFERROR(L8/J8,0)</f>
        <v/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/>
      </c>
      <c r="O8" s="172">
        <f>IFERROR(N8/SUM(J8),0)</f>
        <v/>
      </c>
      <c r="P8" s="260" t="n">
        <v>66162.75</v>
      </c>
      <c r="Q8" s="89">
        <f>SUM(P8/E8)</f>
        <v/>
      </c>
      <c r="R8" s="260" t="n">
        <v>17811.8</v>
      </c>
      <c r="S8" s="89">
        <f>SUM(R8/E8)</f>
        <v/>
      </c>
      <c r="T8" s="260" t="n">
        <v>3147.5</v>
      </c>
      <c r="U8" s="26" t="n"/>
    </row>
    <row r="9" hidden="1" ht="15.6" customHeight="1">
      <c r="A9" s="409" t="inlineStr">
        <is>
          <t>Rosebank</t>
        </is>
      </c>
      <c r="B9" s="200" t="n">
        <v>0</v>
      </c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60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146542.06</v>
      </c>
      <c r="C10" s="73" t="n">
        <v>159016.18</v>
      </c>
      <c r="D10" s="145" t="n">
        <v>125510.9</v>
      </c>
      <c r="E10" s="145" t="n">
        <v>158186.46</v>
      </c>
      <c r="F10" s="145" t="n">
        <v>142426.5</v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525</v>
      </c>
      <c r="K10" s="63">
        <f>IFERROR(E10/J10,0)</f>
        <v/>
      </c>
      <c r="L10" s="61" t="n">
        <v>4</v>
      </c>
      <c r="M10" s="28">
        <f>IFERROR(L10/J10,0)</f>
        <v/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/>
      </c>
      <c r="O10" s="172">
        <f>IFERROR(N10/SUM(J10),0)</f>
        <v/>
      </c>
      <c r="P10" s="260" t="n">
        <v>66198.25</v>
      </c>
      <c r="Q10" s="89">
        <f>SUM(P10/E10)</f>
        <v/>
      </c>
      <c r="R10" s="260" t="n">
        <v>5491.1</v>
      </c>
      <c r="S10" s="89">
        <f>SUM(R10/E10)</f>
        <v/>
      </c>
      <c r="T10" s="260" t="n">
        <v>6681.5</v>
      </c>
      <c r="U10" s="26" t="n"/>
    </row>
    <row r="11" ht="15.6" customHeight="1">
      <c r="A11" s="409" t="inlineStr">
        <is>
          <t>Eagles Landing</t>
        </is>
      </c>
      <c r="B11" s="200" t="n">
        <v>232444.11</v>
      </c>
      <c r="C11" s="73" t="n">
        <v>270331.87</v>
      </c>
      <c r="D11" s="145" t="n">
        <v>236841.5</v>
      </c>
      <c r="E11" s="145" t="n">
        <v>224089.43</v>
      </c>
      <c r="F11" s="145" t="n">
        <v>205173.86</v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613</v>
      </c>
      <c r="K11" s="63">
        <f>IFERROR(E11/J11,0)</f>
        <v/>
      </c>
      <c r="L11" s="61" t="n">
        <v>15</v>
      </c>
      <c r="M11" s="28">
        <f>IFERROR(L11/J11,0)</f>
        <v/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/>
      </c>
      <c r="O11" s="172">
        <f>IFERROR(N11/SUM(J11),0)</f>
        <v/>
      </c>
      <c r="P11" s="260" t="n">
        <v>49397.05</v>
      </c>
      <c r="Q11" s="89">
        <f>SUM(P11/E11)</f>
        <v/>
      </c>
      <c r="R11" s="260" t="n">
        <v>26302.82</v>
      </c>
      <c r="S11" s="89">
        <f>SUM(R11/E11)</f>
        <v/>
      </c>
      <c r="T11" s="260" t="n">
        <v>8314.4</v>
      </c>
      <c r="U11" s="26" t="n"/>
    </row>
    <row r="12" ht="15.6" customHeight="1">
      <c r="A12" s="198" t="inlineStr">
        <is>
          <t>Stellenbosch</t>
        </is>
      </c>
      <c r="B12" s="200" t="n">
        <v>131242.27</v>
      </c>
      <c r="C12" s="73" t="n">
        <v>157839.24</v>
      </c>
      <c r="D12" s="145" t="n">
        <v>121011.8</v>
      </c>
      <c r="E12" s="145" t="n">
        <v>130082.37</v>
      </c>
      <c r="F12" s="145" t="n">
        <v>115336.09</v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494</v>
      </c>
      <c r="K12" s="63">
        <f>IFERROR(E12/J12,0)</f>
        <v/>
      </c>
      <c r="L12" s="61" t="n">
        <v>5</v>
      </c>
      <c r="M12" s="28">
        <f>IFERROR(L12/J12,0)</f>
        <v/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/>
      </c>
      <c r="O12" s="172">
        <f>IFERROR(N12/SUM(J12),0)</f>
        <v/>
      </c>
      <c r="P12" s="260" t="n">
        <v>25163.35</v>
      </c>
      <c r="Q12" s="89">
        <f>SUM(P12/E12)</f>
        <v/>
      </c>
      <c r="R12" s="260" t="n">
        <v>15299.85</v>
      </c>
      <c r="S12" s="89">
        <f>SUM(R12/E12)</f>
        <v/>
      </c>
      <c r="T12" s="260" t="n">
        <v>10197</v>
      </c>
      <c r="U12" s="26" t="n"/>
    </row>
    <row r="13" ht="15.6" customHeight="1">
      <c r="A13" s="198" t="inlineStr">
        <is>
          <t>Lynnwood</t>
        </is>
      </c>
      <c r="B13" s="200" t="n">
        <v>220664.45</v>
      </c>
      <c r="C13" s="73" t="n">
        <v>217934.76</v>
      </c>
      <c r="D13" s="145" t="n">
        <v>199536.6</v>
      </c>
      <c r="E13" s="145" t="n">
        <v>228031.91</v>
      </c>
      <c r="F13" s="145" t="n">
        <v>211011.08</v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845</v>
      </c>
      <c r="K13" s="63">
        <f>IFERROR(E13/J13,0)</f>
        <v/>
      </c>
      <c r="L13" s="61" t="n">
        <v>12</v>
      </c>
      <c r="M13" s="28">
        <f>IFERROR(L13/J13,0)</f>
        <v/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/>
      </c>
      <c r="O13" s="172">
        <f>IFERROR(N13/SUM(J13),0)</f>
        <v/>
      </c>
      <c r="P13" s="260" t="n">
        <v>45054.47</v>
      </c>
      <c r="Q13" s="89">
        <f>SUM(P13/E13)</f>
        <v/>
      </c>
      <c r="R13" s="260" t="n">
        <v>35558.95</v>
      </c>
      <c r="S13" s="89">
        <f>SUM(R13/E13)</f>
        <v/>
      </c>
      <c r="T13" s="260" t="n">
        <v>5030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60" t="n"/>
      <c r="U14" s="26" t="n"/>
    </row>
    <row r="15" ht="15.6" customHeight="1">
      <c r="A15" s="198" t="inlineStr">
        <is>
          <t>Hartenbos</t>
        </is>
      </c>
      <c r="B15" s="200" t="n">
        <v>243303.6</v>
      </c>
      <c r="C15" s="73" t="n">
        <v>183776.76</v>
      </c>
      <c r="D15" s="145" t="n">
        <v>174523.6</v>
      </c>
      <c r="E15" s="145" t="n">
        <v>241742.72</v>
      </c>
      <c r="F15" s="145" t="n">
        <v>214774.9</v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885</v>
      </c>
      <c r="K15" s="63">
        <f>IFERROR(E15/J15,0)</f>
        <v/>
      </c>
      <c r="L15" s="61" t="n">
        <v>15</v>
      </c>
      <c r="M15" s="28">
        <f>IFERROR(L15/J15,0)</f>
        <v/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24031.5</v>
      </c>
      <c r="S15" s="89">
        <f>SUM(R15/E15)</f>
        <v/>
      </c>
      <c r="T15" s="260" t="n">
        <v>3513.5</v>
      </c>
      <c r="U15" s="9" t="n"/>
    </row>
    <row r="16" ht="15.6" customHeight="1">
      <c r="A16" s="198" t="inlineStr">
        <is>
          <t>Kyalami Corner</t>
        </is>
      </c>
      <c r="B16" s="200" t="n">
        <v>152682.18</v>
      </c>
      <c r="C16" s="73" t="n">
        <v>127255.26</v>
      </c>
      <c r="D16" s="145" t="n">
        <v>117847.8</v>
      </c>
      <c r="E16" s="145" t="n">
        <v>145092.71</v>
      </c>
      <c r="F16" s="145" t="n">
        <v>129844.89</v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531</v>
      </c>
      <c r="K16" s="63">
        <f>IFERROR(E16/J16,0)</f>
        <v/>
      </c>
      <c r="L16" s="61" t="n">
        <v>11</v>
      </c>
      <c r="M16" s="28">
        <f>IFERROR(L16/J16,0)</f>
        <v/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/>
      </c>
      <c r="O16" s="172">
        <f>IFERROR(N16/SUM(J16),0)</f>
        <v/>
      </c>
      <c r="P16" s="260" t="n">
        <v>34736.05</v>
      </c>
      <c r="Q16" s="89">
        <f>SUM(P16/E16)</f>
        <v/>
      </c>
      <c r="R16" s="260" t="n">
        <v>30879.55</v>
      </c>
      <c r="S16" s="89">
        <f>SUM(R16/E16)</f>
        <v/>
      </c>
      <c r="T16" s="260" t="n">
        <v>6711.05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205896.16</v>
      </c>
      <c r="C17" s="73" t="n">
        <v>208721.29</v>
      </c>
      <c r="D17" s="145" t="n">
        <v>164974.1</v>
      </c>
      <c r="E17" s="145" t="n">
        <v>181925.54</v>
      </c>
      <c r="F17" s="145" t="n">
        <v>168691.74</v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656</v>
      </c>
      <c r="K17" s="63">
        <f>IFERROR(E17/J17,0)</f>
        <v/>
      </c>
      <c r="L17" s="61" t="n">
        <v>1</v>
      </c>
      <c r="M17" s="28">
        <f>IFERROR(L17/J17,0)</f>
        <v/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/>
      </c>
      <c r="O17" s="172">
        <f>IFERROR(N17/SUM(J17),0)</f>
        <v/>
      </c>
      <c r="P17" s="260" t="n">
        <v>31293.33</v>
      </c>
      <c r="Q17" s="89">
        <f>SUM(P17/E17)</f>
        <v/>
      </c>
      <c r="R17" s="260" t="n">
        <v>25664.73</v>
      </c>
      <c r="S17" s="89">
        <f>SUM(R17/E17)</f>
        <v/>
      </c>
      <c r="T17" s="260" t="n">
        <v>4740</v>
      </c>
      <c r="U17" s="9" t="n"/>
    </row>
    <row r="18" ht="15.6" customHeight="1">
      <c r="A18" s="198" t="inlineStr">
        <is>
          <t>Queenswood</t>
        </is>
      </c>
      <c r="B18" s="200" t="n">
        <v>158701.21</v>
      </c>
      <c r="C18" s="73" t="n">
        <v>169228.51</v>
      </c>
      <c r="D18" s="73" t="n">
        <v>136777.8</v>
      </c>
      <c r="E18" s="145" t="n">
        <v>156833.12</v>
      </c>
      <c r="F18" s="145" t="n">
        <v>144631.44</v>
      </c>
      <c r="G18" s="163">
        <f>IFERROR((SUM(E18-C18)/C18),0)</f>
        <v/>
      </c>
      <c r="H18" s="155">
        <f>IFERROR((SUM(E18-D18)/D18),0)</f>
        <v/>
      </c>
      <c r="I18" s="263">
        <f>IFERROR((SUM(E18-B18)/B18),0)</f>
        <v/>
      </c>
      <c r="J18" s="273" t="n">
        <v>643</v>
      </c>
      <c r="K18" s="63">
        <f>IFERROR(E18/J18,0)</f>
        <v/>
      </c>
      <c r="L18" s="61" t="n">
        <v>8</v>
      </c>
      <c r="M18" s="28">
        <f>IFERROR(L18/J18,0)</f>
        <v/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/>
      </c>
      <c r="O18" s="172">
        <f>IFERROR(N18/SUM(J18),0)</f>
        <v/>
      </c>
      <c r="P18" s="260" t="n">
        <v>34594.13</v>
      </c>
      <c r="Q18" s="89">
        <f>SUM(P18/E18)</f>
        <v/>
      </c>
      <c r="R18" s="260" t="n">
        <v>10812.18</v>
      </c>
      <c r="S18" s="89">
        <f>SUM(R18/E18)</f>
        <v/>
      </c>
      <c r="T18" s="260" t="n">
        <v>5313</v>
      </c>
      <c r="U18" s="9" t="n"/>
    </row>
    <row r="19" hidden="1" ht="16.2" customHeight="1" thickBot="1">
      <c r="A19" s="203" t="inlineStr">
        <is>
          <t>Centurion</t>
        </is>
      </c>
      <c r="B19" s="200">
        <f>'17 - 23 Jan 2022'!E19</f>
        <v/>
      </c>
      <c r="C19" s="206" t="n">
        <v>0</v>
      </c>
      <c r="D19" s="131" t="n">
        <v>0</v>
      </c>
      <c r="E19" s="267" t="n">
        <v>0</v>
      </c>
      <c r="F19" s="216" t="n">
        <v>0</v>
      </c>
      <c r="G19" s="207">
        <f>IFERROR((SUM(E19-C19)/C19),0)</f>
        <v/>
      </c>
      <c r="H19" s="156">
        <f>IFERROR((SUM(D19-A19)/A19),0)</f>
        <v/>
      </c>
      <c r="I19" s="264">
        <f>IFERROR((SUM(E19-B19)/B19),0)</f>
        <v/>
      </c>
      <c r="J19" s="151" t="n"/>
      <c r="K19" s="132">
        <f>IFERROR(E19/J19,0)</f>
        <v/>
      </c>
      <c r="L19" s="133" t="n">
        <v>0</v>
      </c>
      <c r="M19" s="114">
        <f>IFERROR(L19/J19,0)</f>
        <v/>
      </c>
      <c r="N19" s="46">
        <f>L19+'15 - 21 Nov'!L19+'22 - 28 Nov'!L19+'29 Nov - 5 Dec'!L19+'6 - 12 Dec'!L19+'13 - 19 Dec'!L19+'20 - 26 Dec'!L19+'27 Dec - 2 Jan 2022'!L19+'3 - 9 Jan 2022'!L19+'10 - 16 Jan 2022'!L19+'17 - 23 Jan 2022'!L19</f>
        <v/>
      </c>
      <c r="O19" s="213">
        <f>IFERROR(N19/SUM(J19),0)</f>
        <v/>
      </c>
      <c r="P19" s="261" t="n">
        <v>0</v>
      </c>
      <c r="Q19" s="116">
        <f>SUM(P19/E19)</f>
        <v/>
      </c>
      <c r="R19" s="261" t="n">
        <v>0</v>
      </c>
      <c r="S19" s="116">
        <f>SUM(R19/E19)</f>
        <v/>
      </c>
      <c r="T19" s="134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2020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218365.71</v>
      </c>
      <c r="C6" s="255" t="n">
        <v>228522.88</v>
      </c>
      <c r="D6" s="197" t="n">
        <v>198648.1</v>
      </c>
      <c r="E6" s="144" t="n">
        <v>220633.24</v>
      </c>
      <c r="F6" s="123">
        <f>205538.15+E6</f>
        <v/>
      </c>
      <c r="G6" s="162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205166.89</v>
      </c>
      <c r="C7" s="73" t="n">
        <v>173162.7</v>
      </c>
      <c r="D7" s="145" t="n">
        <v>173140.4</v>
      </c>
      <c r="E7" s="145" t="n">
        <v>229538.83</v>
      </c>
      <c r="F7" s="145">
        <f>189745.19+E7</f>
        <v/>
      </c>
      <c r="G7" s="163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804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144923.59</v>
      </c>
      <c r="C8" s="73" t="n">
        <v>111287.99</v>
      </c>
      <c r="D8" s="145" t="n">
        <v>99515.73</v>
      </c>
      <c r="E8" s="145" t="n">
        <v>143637.97</v>
      </c>
      <c r="F8" s="145">
        <f>132288.72+E8</f>
        <v/>
      </c>
      <c r="G8" s="163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570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45">
        <f>0+E9</f>
        <v/>
      </c>
      <c r="G9" s="163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158186.46</v>
      </c>
      <c r="C10" s="73" t="n">
        <v>157896.94</v>
      </c>
      <c r="D10" s="145" t="n">
        <v>127052.2</v>
      </c>
      <c r="E10" s="145" t="n">
        <v>152386.4</v>
      </c>
      <c r="F10" s="145">
        <f>142426.5+E10</f>
        <v/>
      </c>
      <c r="G10" s="163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531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224089.43</v>
      </c>
      <c r="C11" s="73" t="n">
        <v>317971.75</v>
      </c>
      <c r="D11" s="145" t="n">
        <v>241525.5</v>
      </c>
      <c r="E11" s="145" t="n">
        <v>233868.56</v>
      </c>
      <c r="F11" s="145">
        <f>205173.86+E11</f>
        <v/>
      </c>
      <c r="G11" s="163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835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130082.37</v>
      </c>
      <c r="C12" s="73" t="n">
        <v>142886.7</v>
      </c>
      <c r="D12" s="145" t="n">
        <v>125360.2</v>
      </c>
      <c r="E12" s="145" t="n">
        <v>130047.86</v>
      </c>
      <c r="F12" s="145">
        <f>115336.09+E12</f>
        <v/>
      </c>
      <c r="G12" s="163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483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228031.91</v>
      </c>
      <c r="C13" s="73" t="n">
        <v>227804.48</v>
      </c>
      <c r="D13" s="145" t="n">
        <v>194756.2</v>
      </c>
      <c r="E13" s="145" t="n">
        <v>212862.25</v>
      </c>
      <c r="F13" s="145">
        <f>211011.08+E13</f>
        <v/>
      </c>
      <c r="G13" s="163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780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45" t="n"/>
      <c r="G14" s="163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241742.72</v>
      </c>
      <c r="C15" s="73" t="n">
        <v>199136.28</v>
      </c>
      <c r="D15" s="145" t="n">
        <v>172209.5</v>
      </c>
      <c r="E15" s="145" t="n">
        <v>226735.62</v>
      </c>
      <c r="F15" s="145">
        <f>214774.9+E15</f>
        <v/>
      </c>
      <c r="G15" s="163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772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145092.71</v>
      </c>
      <c r="C16" s="73" t="n">
        <v>138626.42</v>
      </c>
      <c r="D16" s="145" t="n">
        <v>128763</v>
      </c>
      <c r="E16" s="145" t="n">
        <v>150819.63</v>
      </c>
      <c r="F16" s="145">
        <f>129844.89+E16</f>
        <v/>
      </c>
      <c r="G16" s="163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569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181925.54</v>
      </c>
      <c r="C17" s="73" t="n">
        <v>218588.98</v>
      </c>
      <c r="D17" s="145" t="n">
        <v>163994.2</v>
      </c>
      <c r="E17" s="145" t="n">
        <v>190573.92</v>
      </c>
      <c r="F17" s="145">
        <f>168691.74+E17</f>
        <v/>
      </c>
      <c r="G17" s="163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156833.12</v>
      </c>
      <c r="C18" s="131" t="n">
        <v>185708.58</v>
      </c>
      <c r="D18" s="131" t="n">
        <v>136531.2</v>
      </c>
      <c r="E18" s="146" t="n">
        <v>139274.86</v>
      </c>
      <c r="F18" s="146">
        <f>144631.44+E18</f>
        <v/>
      </c>
      <c r="G18" s="164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559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E18">
    <cfRule type="cellIs" priority="5" operator="equal" dxfId="0">
      <formula>0</formula>
    </cfRule>
  </conditionalFormatting>
  <conditionalFormatting sqref="E19:F19">
    <cfRule type="cellIs" priority="18" operator="equal" dxfId="0">
      <formula>0</formula>
    </cfRule>
  </conditionalFormatting>
  <conditionalFormatting sqref="F7:F18">
    <cfRule type="cellIs" priority="6" operator="equal" dxfId="0">
      <formula>0</formula>
    </cfRule>
  </conditionalFormatting>
  <conditionalFormatting sqref="G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2020</t>
        </is>
      </c>
      <c r="D3" s="113" t="inlineStr">
        <is>
          <t>LAST YEAR (Net) 2021</t>
        </is>
      </c>
      <c r="E3" s="271" t="inlineStr">
        <is>
          <t>T/Over Net</t>
        </is>
      </c>
      <c r="F3" s="290" t="inlineStr">
        <is>
          <t>Month To Date T/Over</t>
        </is>
      </c>
      <c r="G3" s="292" t="inlineStr">
        <is>
          <t>% to LY 2020</t>
        </is>
      </c>
      <c r="H3" s="293" t="inlineStr">
        <is>
          <t>% to LW 2021</t>
        </is>
      </c>
      <c r="I3" s="294" t="inlineStr">
        <is>
          <t>% to LW</t>
        </is>
      </c>
      <c r="J3" s="291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220633.24</v>
      </c>
      <c r="C6" s="255" t="n">
        <v>111844.41</v>
      </c>
      <c r="D6" s="197" t="n">
        <v>206498.85</v>
      </c>
      <c r="E6" s="144" t="n">
        <v>232505.15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749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229538.83</v>
      </c>
      <c r="C7" s="73" t="n">
        <v>25855.03</v>
      </c>
      <c r="D7" s="145" t="n">
        <v>147714.4</v>
      </c>
      <c r="E7" s="145" t="n">
        <v>238531.51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782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143637.97</v>
      </c>
      <c r="C8" s="73" t="n">
        <v>63417.32</v>
      </c>
      <c r="D8" s="145" t="n">
        <v>108914.78</v>
      </c>
      <c r="E8" s="145" t="n">
        <v>110546.73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152386.4</v>
      </c>
      <c r="C10" s="73" t="n">
        <v>92886.66</v>
      </c>
      <c r="D10" s="145" t="n">
        <v>149128.31</v>
      </c>
      <c r="E10" s="145" t="n">
        <v>138082.21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464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233868.56</v>
      </c>
      <c r="C11" s="73" t="n">
        <v>136211.63</v>
      </c>
      <c r="D11" s="145" t="n">
        <v>243817.58</v>
      </c>
      <c r="E11" s="145" t="n">
        <v>193342.82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696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130047.86</v>
      </c>
      <c r="C12" s="73" t="n">
        <v>70519.10000000001</v>
      </c>
      <c r="D12" s="145" t="n">
        <v>106568.05</v>
      </c>
      <c r="E12" s="145" t="n">
        <v>118093.22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443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212862.25</v>
      </c>
      <c r="C13" s="73" t="n">
        <v>128530.38</v>
      </c>
      <c r="D13" s="145" t="n">
        <v>174962.19</v>
      </c>
      <c r="E13" s="145" t="n">
        <v>185508.77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731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226735.62</v>
      </c>
      <c r="C15" s="73" t="n">
        <v>137714.02</v>
      </c>
      <c r="D15" s="145" t="n">
        <v>196261</v>
      </c>
      <c r="E15" s="145" t="n">
        <v>326106.42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1001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150819.63</v>
      </c>
      <c r="C16" s="73" t="n">
        <v>63130.56</v>
      </c>
      <c r="D16" s="145" t="n">
        <v>111117.76</v>
      </c>
      <c r="E16" s="145" t="n">
        <v>115253.69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447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190573.92</v>
      </c>
      <c r="C17" s="73" t="n">
        <v>99672.75</v>
      </c>
      <c r="D17" s="145" t="n">
        <v>154734.54</v>
      </c>
      <c r="E17" s="145" t="n">
        <v>172469.75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626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139274.86</v>
      </c>
      <c r="C18" s="131" t="n">
        <v>102216.62</v>
      </c>
      <c r="D18" s="131" t="n">
        <v>139950.44</v>
      </c>
      <c r="E18" s="146" t="n">
        <v>160351.55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232505.15</v>
      </c>
      <c r="C6" s="255" t="n">
        <v>339552.82</v>
      </c>
      <c r="D6" s="197" t="n">
        <v>239554.8</v>
      </c>
      <c r="E6" s="144" t="n">
        <v>254872.5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807</v>
      </c>
      <c r="K6" s="124">
        <f>IFERROR(E6/J6,0)</f>
        <v/>
      </c>
      <c r="L6" s="125" t="n">
        <v>10</v>
      </c>
      <c r="M6" s="126">
        <f>IFERROR(L6/J6,0)</f>
        <v/>
      </c>
      <c r="N6" s="127">
        <f>L6</f>
        <v/>
      </c>
      <c r="O6" s="171">
        <f>IFERROR(N6/SUM(J6),0)</f>
        <v/>
      </c>
      <c r="P6" s="259" t="n">
        <v>41793.15</v>
      </c>
      <c r="Q6" s="128">
        <f>SUM(P6/E6)</f>
        <v/>
      </c>
      <c r="R6" s="259" t="n">
        <v>13258.25</v>
      </c>
      <c r="S6" s="128">
        <f>SUM(R6/E6)</f>
        <v/>
      </c>
      <c r="T6" s="286" t="n">
        <v>7297.45</v>
      </c>
      <c r="U6" s="26" t="n"/>
    </row>
    <row r="7" ht="15.6" customHeight="1">
      <c r="A7" s="409" t="inlineStr">
        <is>
          <t>Melrose Arch</t>
        </is>
      </c>
      <c r="B7" s="200" t="n">
        <v>238531.51</v>
      </c>
      <c r="C7" s="73" t="n">
        <v>237354.06</v>
      </c>
      <c r="D7" s="145" t="n">
        <v>207285.9</v>
      </c>
      <c r="E7" s="145" t="n">
        <v>261094.6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858</v>
      </c>
      <c r="K7" s="63">
        <f>IFERROR(E7/J7,0)</f>
        <v/>
      </c>
      <c r="L7" s="61" t="n">
        <v>12</v>
      </c>
      <c r="M7" s="28">
        <f>IFERROR(L7/J7,0)</f>
        <v/>
      </c>
      <c r="N7" s="46">
        <f>L7</f>
        <v/>
      </c>
      <c r="O7" s="172">
        <f>IFERROR(N7/SUM(J7),0)</f>
        <v/>
      </c>
      <c r="P7" s="260" t="n">
        <v>50559.2</v>
      </c>
      <c r="Q7" s="89">
        <f>SUM(P7/E7)</f>
        <v/>
      </c>
      <c r="R7" s="260" t="n">
        <v>15504.4</v>
      </c>
      <c r="S7" s="89">
        <f>SUM(R7/E7)</f>
        <v/>
      </c>
      <c r="T7" s="281" t="n">
        <v>9800.9</v>
      </c>
      <c r="U7" s="26" t="n"/>
    </row>
    <row r="8" ht="15.6" customHeight="1">
      <c r="A8" s="409" t="inlineStr">
        <is>
          <t>Melville</t>
        </is>
      </c>
      <c r="B8" s="200" t="n">
        <v>110546.73</v>
      </c>
      <c r="C8" s="73" t="n">
        <v>127846.77</v>
      </c>
      <c r="D8" s="145" t="n">
        <v>106593.3</v>
      </c>
      <c r="E8" s="145" t="n">
        <v>127181.74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441</v>
      </c>
      <c r="K8" s="63">
        <f>IFERROR(E8/J8,0)</f>
        <v/>
      </c>
      <c r="L8" s="61" t="n">
        <v>2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73276.5</v>
      </c>
      <c r="Q8" s="89">
        <f>SUM(P8/E8)</f>
        <v/>
      </c>
      <c r="R8" s="260" t="n">
        <v>18360.4</v>
      </c>
      <c r="S8" s="89">
        <f>SUM(R8/E8)</f>
        <v/>
      </c>
      <c r="T8" s="281" t="n">
        <v>4553.1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138082.21</v>
      </c>
      <c r="C10" s="73" t="n">
        <v>134544.66</v>
      </c>
      <c r="D10" s="145" t="n">
        <v>135888.35</v>
      </c>
      <c r="E10" s="145" t="n">
        <v>148861.7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519</v>
      </c>
      <c r="K10" s="63">
        <f>IFERROR(E10/J10,0)</f>
        <v/>
      </c>
      <c r="L10" s="61" t="n">
        <v>5</v>
      </c>
      <c r="M10" s="28">
        <f>IFERROR(L10/J10,0)</f>
        <v/>
      </c>
      <c r="N10" s="46">
        <f>L10</f>
        <v/>
      </c>
      <c r="O10" s="172">
        <f>IFERROR(N10/SUM(J10),0)</f>
        <v/>
      </c>
      <c r="P10" s="260" t="n">
        <v>36067.35</v>
      </c>
      <c r="Q10" s="89">
        <f>SUM(P10/E10)</f>
        <v/>
      </c>
      <c r="R10" s="260" t="n">
        <v>14088.95</v>
      </c>
      <c r="S10" s="89">
        <f>SUM(R10/E10)</f>
        <v/>
      </c>
      <c r="T10" s="281" t="n">
        <v>6385.5</v>
      </c>
      <c r="U10" s="26" t="n"/>
    </row>
    <row r="11" ht="15.6" customHeight="1">
      <c r="A11" s="409" t="inlineStr">
        <is>
          <t>Eagles Landing</t>
        </is>
      </c>
      <c r="B11" s="200" t="n">
        <v>193342.82</v>
      </c>
      <c r="C11" s="73" t="n">
        <v>369279.11</v>
      </c>
      <c r="D11" s="145" t="n">
        <v>267732.1</v>
      </c>
      <c r="E11" s="145" t="n">
        <v>226906.2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773</v>
      </c>
      <c r="K11" s="63">
        <f>IFERROR(E11/J11,0)</f>
        <v/>
      </c>
      <c r="L11" s="61" t="n">
        <v>22</v>
      </c>
      <c r="M11" s="28">
        <f>IFERROR(L11/J11,0)</f>
        <v/>
      </c>
      <c r="N11" s="46">
        <f>L11</f>
        <v/>
      </c>
      <c r="O11" s="172">
        <f>IFERROR(N11/SUM(J11),0)</f>
        <v/>
      </c>
      <c r="P11" s="260" t="n">
        <v>33757.12</v>
      </c>
      <c r="Q11" s="89">
        <f>SUM(P11/E11)</f>
        <v/>
      </c>
      <c r="R11" s="260" t="n">
        <v>29140.1</v>
      </c>
      <c r="S11" s="89">
        <f>SUM(R11/E11)</f>
        <v/>
      </c>
      <c r="T11" s="281" t="n">
        <v>14627.6</v>
      </c>
      <c r="U11" s="26" t="n"/>
    </row>
    <row r="12" ht="15.6" customHeight="1">
      <c r="A12" s="198" t="inlineStr">
        <is>
          <t>Stellenbosch</t>
        </is>
      </c>
      <c r="B12" s="200" t="n">
        <v>118093.22</v>
      </c>
      <c r="C12" s="73" t="n">
        <v>166773.71</v>
      </c>
      <c r="D12" s="145" t="n">
        <v>104694.2</v>
      </c>
      <c r="E12" s="145" t="n">
        <v>138286.3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508</v>
      </c>
      <c r="K12" s="63">
        <f>IFERROR(E12/J12,0)</f>
        <v/>
      </c>
      <c r="L12" s="61" t="n">
        <v>6</v>
      </c>
      <c r="M12" s="28">
        <f>IFERROR(L12/J12,0)</f>
        <v/>
      </c>
      <c r="N12" s="46">
        <f>L12</f>
        <v/>
      </c>
      <c r="O12" s="172">
        <f>IFERROR(N12/SUM(J12),0)</f>
        <v/>
      </c>
      <c r="P12" s="260" t="n">
        <v>17305.8</v>
      </c>
      <c r="Q12" s="89">
        <f>SUM(P12/E12)</f>
        <v/>
      </c>
      <c r="R12" s="260" t="n">
        <v>29543.95</v>
      </c>
      <c r="S12" s="89">
        <f>SUM(R12/E12)</f>
        <v/>
      </c>
      <c r="T12" s="281" t="n">
        <v>9465.75</v>
      </c>
      <c r="U12" s="26" t="n"/>
    </row>
    <row r="13" ht="15.6" customHeight="1">
      <c r="A13" s="198" t="inlineStr">
        <is>
          <t>Lynnwood</t>
        </is>
      </c>
      <c r="B13" s="200" t="n">
        <v>185508.77</v>
      </c>
      <c r="C13" s="73" t="n">
        <v>231068.59</v>
      </c>
      <c r="D13" s="145" t="n">
        <v>186508.08</v>
      </c>
      <c r="E13" s="145" t="n">
        <v>229667.3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781</v>
      </c>
      <c r="K13" s="63">
        <f>IFERROR(E13/J13,0)</f>
        <v/>
      </c>
      <c r="L13" s="61" t="n">
        <v>21</v>
      </c>
      <c r="M13" s="28">
        <f>IFERROR(L13/J13,0)</f>
        <v/>
      </c>
      <c r="N13" s="46">
        <f>L13</f>
        <v/>
      </c>
      <c r="O13" s="172">
        <f>IFERROR(N13/SUM(J13),0)</f>
        <v/>
      </c>
      <c r="P13" s="260" t="n">
        <v>41116</v>
      </c>
      <c r="Q13" s="89">
        <f>SUM(P13/E13)</f>
        <v/>
      </c>
      <c r="R13" s="260" t="n">
        <v>29831.35</v>
      </c>
      <c r="S13" s="89">
        <f>SUM(R13/E13)</f>
        <v/>
      </c>
      <c r="T13" s="281" t="n">
        <v>4705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326106.42</v>
      </c>
      <c r="C15" s="73" t="n">
        <v>407133.91</v>
      </c>
      <c r="D15" s="145" t="n">
        <v>184312.8</v>
      </c>
      <c r="E15" s="145" t="n">
        <v>470107.2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1318</v>
      </c>
      <c r="K15" s="63">
        <f>IFERROR(E15/J15,0)</f>
        <v/>
      </c>
      <c r="L15" s="61" t="n">
        <v>16</v>
      </c>
      <c r="M15" s="28">
        <f>IFERROR(L15/J15,0)</f>
        <v/>
      </c>
      <c r="N15" s="46">
        <f>L15</f>
        <v/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24052</v>
      </c>
      <c r="S15" s="89">
        <f>SUM(R15/E15)</f>
        <v/>
      </c>
      <c r="T15" s="281" t="n">
        <v>2333.95</v>
      </c>
      <c r="U15" s="9" t="n"/>
    </row>
    <row r="16" ht="15.6" customHeight="1">
      <c r="A16" s="198" t="inlineStr">
        <is>
          <t>Kyalami Corner</t>
        </is>
      </c>
      <c r="B16" s="200" t="n">
        <v>115253.69</v>
      </c>
      <c r="C16" s="73" t="n">
        <v>164652.97</v>
      </c>
      <c r="D16" s="145" t="n">
        <v>136626.7</v>
      </c>
      <c r="E16" s="145" t="n">
        <v>135960.2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487</v>
      </c>
      <c r="K16" s="63">
        <f>IFERROR(E16/J16,0)</f>
        <v/>
      </c>
      <c r="L16" s="61" t="n">
        <v>16</v>
      </c>
      <c r="M16" s="28">
        <f>IFERROR(L16/J16,0)</f>
        <v/>
      </c>
      <c r="N16" s="46">
        <f>L16</f>
        <v/>
      </c>
      <c r="O16" s="172">
        <f>IFERROR(N16/SUM(J16),0)</f>
        <v/>
      </c>
      <c r="P16" s="260" t="n">
        <v>39291.73</v>
      </c>
      <c r="Q16" s="89">
        <f>SUM(P16/E16)</f>
        <v/>
      </c>
      <c r="R16" s="260" t="n">
        <v>27142.55</v>
      </c>
      <c r="S16" s="89">
        <f>SUM(R16/E16)</f>
        <v/>
      </c>
      <c r="T16" s="281" t="n">
        <v>6382.7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172469.75</v>
      </c>
      <c r="C17" s="73" t="n">
        <v>250243.46</v>
      </c>
      <c r="D17" s="145" t="n">
        <v>153117</v>
      </c>
      <c r="E17" s="145" t="n">
        <v>192610.4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694</v>
      </c>
      <c r="K17" s="63">
        <f>IFERROR(E17/J17,0)</f>
        <v/>
      </c>
      <c r="L17" s="61" t="n">
        <v>9</v>
      </c>
      <c r="M17" s="28">
        <f>IFERROR(L17/J17,0)</f>
        <v/>
      </c>
      <c r="N17" s="46">
        <f>L17</f>
        <v/>
      </c>
      <c r="O17" s="172">
        <f>IFERROR(N17/SUM(J17),0)</f>
        <v/>
      </c>
      <c r="P17" s="260" t="n">
        <v>50499.4</v>
      </c>
      <c r="Q17" s="89">
        <f>SUM(P17/E17)</f>
        <v/>
      </c>
      <c r="R17" s="260" t="n">
        <v>27714.5</v>
      </c>
      <c r="S17" s="89">
        <f>SUM(R17/E17)</f>
        <v/>
      </c>
      <c r="T17" s="281" t="n">
        <v>5762</v>
      </c>
      <c r="U17" s="9" t="n"/>
    </row>
    <row r="18" ht="16.2" customHeight="1" thickBot="1">
      <c r="A18" s="199" t="inlineStr">
        <is>
          <t>Queenswood</t>
        </is>
      </c>
      <c r="B18" s="201" t="n">
        <v>160351.55</v>
      </c>
      <c r="C18" s="131" t="n">
        <v>196899.77</v>
      </c>
      <c r="D18" s="131" t="n">
        <v>146169.4</v>
      </c>
      <c r="E18" s="146" t="n">
        <v>165936.8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631</v>
      </c>
      <c r="K18" s="132">
        <f>IFERROR(E18/J18,0)</f>
        <v/>
      </c>
      <c r="L18" s="133" t="n">
        <v>14</v>
      </c>
      <c r="M18" s="114">
        <f>IFERROR(L18/J18,0)</f>
        <v/>
      </c>
      <c r="N18" s="115">
        <f>L18</f>
        <v/>
      </c>
      <c r="O18" s="173">
        <f>IFERROR(N18/SUM(J18),0)</f>
        <v/>
      </c>
      <c r="P18" s="261" t="n">
        <v>23514.44</v>
      </c>
      <c r="Q18" s="116">
        <f>SUM(P18/E18)</f>
        <v/>
      </c>
      <c r="R18" s="261" t="n">
        <v>29232.75</v>
      </c>
      <c r="S18" s="116">
        <f>SUM(R18/E18)</f>
        <v/>
      </c>
      <c r="T18" s="283" t="n">
        <v>3162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C19">
    <cfRule type="cellIs" priority="19" operator="equal" dxfId="0">
      <formula>0</formula>
    </cfRule>
  </conditionalFormatting>
  <conditionalFormatting sqref="D7:D19">
    <cfRule type="cellIs" priority="8" operator="equal" dxfId="0">
      <formula>0</formula>
    </cfRule>
  </conditionalFormatting>
  <conditionalFormatting sqref="E6:T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" sqref="A1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254872.5</v>
      </c>
      <c r="C6" s="255" t="n">
        <v>302665.29</v>
      </c>
      <c r="D6" s="197" t="n">
        <v>239554.84</v>
      </c>
      <c r="E6" s="144" t="n">
        <v>270844.26</v>
      </c>
      <c r="F6" s="129">
        <f>144631.44+E6+B6</f>
        <v/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847</v>
      </c>
      <c r="K6" s="124">
        <f>IFERROR(E6/J6,0)</f>
        <v/>
      </c>
      <c r="L6" s="125" t="n">
        <v>6</v>
      </c>
      <c r="M6" s="126">
        <f>IFERROR(L6/J6,0)</f>
        <v/>
      </c>
      <c r="N6" s="127" t="n">
        <v>27</v>
      </c>
      <c r="O6" s="171">
        <f>IFERROR(N6/SUM(J6),0)</f>
        <v/>
      </c>
      <c r="P6" s="259" t="n">
        <v>41579.65</v>
      </c>
      <c r="Q6" s="128">
        <f>SUM(P6/E6)</f>
        <v/>
      </c>
      <c r="R6" s="259" t="n">
        <v>11255.17</v>
      </c>
      <c r="S6" s="128">
        <f>SUM(R6/E6)</f>
        <v/>
      </c>
      <c r="T6" s="286" t="n">
        <v>10159.1</v>
      </c>
      <c r="U6" s="26" t="n"/>
    </row>
    <row r="7" ht="15.6" customHeight="1">
      <c r="A7" s="409" t="inlineStr">
        <is>
          <t>Melrose Arch</t>
        </is>
      </c>
      <c r="B7" s="200" t="n">
        <v>261094.6</v>
      </c>
      <c r="C7" s="73" t="n">
        <v>258147.93</v>
      </c>
      <c r="D7" s="145" t="n">
        <v>207285.93</v>
      </c>
      <c r="E7" s="145" t="n">
        <v>262784.09</v>
      </c>
      <c r="F7" s="130">
        <f>144631.44+E7+B7</f>
        <v/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865</v>
      </c>
      <c r="K7" s="63">
        <f>IFERROR(E7/J7,0)</f>
        <v/>
      </c>
      <c r="L7" s="61" t="n">
        <v>6</v>
      </c>
      <c r="M7" s="28">
        <f>IFERROR(L7/J7,0)</f>
        <v/>
      </c>
      <c r="N7" s="46" t="n">
        <v>24</v>
      </c>
      <c r="O7" s="172">
        <f>IFERROR(N7/SUM(J7),0)</f>
        <v/>
      </c>
      <c r="P7" s="260" t="n">
        <v>60350.15</v>
      </c>
      <c r="Q7" s="89">
        <f>SUM(P7/E7)</f>
        <v/>
      </c>
      <c r="R7" s="260" t="n">
        <v>41016.9</v>
      </c>
      <c r="S7" s="89">
        <f>SUM(R7/E7)</f>
        <v/>
      </c>
      <c r="T7" s="281" t="n">
        <v>11363.73</v>
      </c>
      <c r="U7" s="26" t="n"/>
    </row>
    <row r="8" ht="15.6" customHeight="1">
      <c r="A8" s="409" t="inlineStr">
        <is>
          <t>Melville</t>
        </is>
      </c>
      <c r="B8" s="200" t="n">
        <v>127181.74</v>
      </c>
      <c r="C8" s="73" t="n">
        <v>136569.38</v>
      </c>
      <c r="D8" s="145" t="n">
        <v>106593.48</v>
      </c>
      <c r="E8" s="145" t="n">
        <v>141938.34</v>
      </c>
      <c r="F8" s="130">
        <f>144631.44+E8+B8</f>
        <v/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440</v>
      </c>
      <c r="K8" s="63">
        <f>IFERROR(E8/J8,0)</f>
        <v/>
      </c>
      <c r="L8" s="61" t="n">
        <v>0</v>
      </c>
      <c r="M8" s="28">
        <f>IFERROR(L8/J8,0)</f>
        <v/>
      </c>
      <c r="N8" s="46">
        <f>L8</f>
        <v/>
      </c>
      <c r="O8" s="172">
        <f>IFERROR(N8/SUM(J8),0)</f>
        <v/>
      </c>
      <c r="P8" s="260" t="n">
        <v>0</v>
      </c>
      <c r="Q8" s="89">
        <f>SUM(P8/E8)</f>
        <v/>
      </c>
      <c r="R8" s="260" t="n">
        <v>0</v>
      </c>
      <c r="S8" s="89">
        <f>SUM(R8/E8)</f>
        <v/>
      </c>
      <c r="T8" s="281" t="n">
        <v>0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>
        <f>144631.44+E9+B9</f>
        <v/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148861.7</v>
      </c>
      <c r="C10" s="73" t="n">
        <v>160533.82</v>
      </c>
      <c r="D10" s="145" t="n">
        <v>135888.34</v>
      </c>
      <c r="E10" s="145" t="n">
        <v>165461.23</v>
      </c>
      <c r="F10" s="130">
        <f>144631.44+E10+B10</f>
        <v/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600</v>
      </c>
      <c r="K10" s="63">
        <f>IFERROR(E10/J10,0)</f>
        <v/>
      </c>
      <c r="L10" s="61" t="n">
        <v>5</v>
      </c>
      <c r="M10" s="28">
        <f>IFERROR(L10/J10,0)</f>
        <v/>
      </c>
      <c r="N10" s="46" t="n">
        <v>16</v>
      </c>
      <c r="O10" s="172">
        <f>IFERROR(N10/SUM(J10),0)</f>
        <v/>
      </c>
      <c r="P10" s="260" t="n">
        <v>46174.72</v>
      </c>
      <c r="Q10" s="89">
        <f>SUM(P10/E10)</f>
        <v/>
      </c>
      <c r="R10" s="260" t="n">
        <v>21464.45</v>
      </c>
      <c r="S10" s="89">
        <f>SUM(R10/E10)</f>
        <v/>
      </c>
      <c r="T10" s="281" t="n">
        <v>6894.5</v>
      </c>
      <c r="U10" s="26" t="n"/>
    </row>
    <row r="11" ht="15.6" customHeight="1">
      <c r="A11" s="409" t="inlineStr">
        <is>
          <t>Eagles Landing</t>
        </is>
      </c>
      <c r="B11" s="200" t="n">
        <v>226906.2</v>
      </c>
      <c r="C11" s="73" t="n">
        <v>390104.3</v>
      </c>
      <c r="D11" s="145" t="n">
        <v>269732.1</v>
      </c>
      <c r="E11" s="145" t="n">
        <v>257339.41</v>
      </c>
      <c r="F11" s="130">
        <f>144631.44+E11+B11</f>
        <v/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844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35</v>
      </c>
      <c r="O11" s="172">
        <f>IFERROR(N11/SUM(J11),0)</f>
        <v/>
      </c>
      <c r="P11" s="260" t="n">
        <v>54181.09</v>
      </c>
      <c r="Q11" s="89">
        <f>SUM(P11/E11)</f>
        <v/>
      </c>
      <c r="R11" s="260" t="n">
        <v>26879.4</v>
      </c>
      <c r="S11" s="89">
        <f>SUM(R11/E11)</f>
        <v/>
      </c>
      <c r="T11" s="281" t="n">
        <v>9507.799999999999</v>
      </c>
      <c r="U11" s="26" t="n"/>
    </row>
    <row r="12" ht="15.6" customHeight="1">
      <c r="A12" s="198" t="inlineStr">
        <is>
          <t>Stellenbosch</t>
        </is>
      </c>
      <c r="B12" s="200" t="n">
        <v>138286.3</v>
      </c>
      <c r="C12" s="73" t="n">
        <v>145176.81</v>
      </c>
      <c r="D12" s="145" t="n">
        <v>104694.16</v>
      </c>
      <c r="E12" s="145" t="n">
        <v>119135.14</v>
      </c>
      <c r="F12" s="130">
        <f>144631.44+E12+B12</f>
        <v/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433</v>
      </c>
      <c r="K12" s="63">
        <f>IFERROR(E12/J12,0)</f>
        <v/>
      </c>
      <c r="L12" s="61" t="n">
        <v>2</v>
      </c>
      <c r="M12" s="28">
        <f>IFERROR(L12/J12,0)</f>
        <v/>
      </c>
      <c r="N12" s="46" t="n">
        <v>12</v>
      </c>
      <c r="O12" s="172">
        <f>IFERROR(N12/SUM(J12),0)</f>
        <v/>
      </c>
      <c r="P12" s="260" t="n">
        <v>8994.75</v>
      </c>
      <c r="Q12" s="89">
        <f>SUM(P12/E12)</f>
        <v/>
      </c>
      <c r="R12" s="260" t="n">
        <v>22330.59</v>
      </c>
      <c r="S12" s="89">
        <f>SUM(R12/E12)</f>
        <v/>
      </c>
      <c r="T12" s="281" t="n">
        <v>7870.4</v>
      </c>
      <c r="U12" s="26" t="n"/>
    </row>
    <row r="13" ht="15.6" customHeight="1">
      <c r="A13" s="198" t="inlineStr">
        <is>
          <t>Lynnwood</t>
        </is>
      </c>
      <c r="B13" s="200" t="n">
        <v>229667.3</v>
      </c>
      <c r="C13" s="73" t="n">
        <v>248268.47</v>
      </c>
      <c r="D13" s="145" t="n">
        <v>186508.59</v>
      </c>
      <c r="E13" s="145" t="n">
        <v>243836.14</v>
      </c>
      <c r="F13" s="130">
        <f>144631.44+E13+B13</f>
        <v/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858</v>
      </c>
      <c r="K13" s="63">
        <f>IFERROR(E13/J13,0)</f>
        <v/>
      </c>
      <c r="L13" s="61" t="n">
        <v>21</v>
      </c>
      <c r="M13" s="28">
        <f>IFERROR(L13/J13,0)</f>
        <v/>
      </c>
      <c r="N13" s="46" t="n">
        <v>52</v>
      </c>
      <c r="O13" s="172">
        <f>IFERROR(N13/SUM(J13),0)</f>
        <v/>
      </c>
      <c r="P13" s="260" t="n">
        <v>43691.85</v>
      </c>
      <c r="Q13" s="89">
        <f>SUM(P13/E13)</f>
        <v/>
      </c>
      <c r="R13" s="260" t="n">
        <v>36313.25</v>
      </c>
      <c r="S13" s="89">
        <f>SUM(R13/E13)</f>
        <v/>
      </c>
      <c r="T13" s="281" t="n">
        <v>9434.5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>
        <f>144631.44+E14+B14</f>
        <v/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470107.2</v>
      </c>
      <c r="C15" s="73" t="n">
        <v>325247.42</v>
      </c>
      <c r="D15" s="145" t="n">
        <v>184312.76</v>
      </c>
      <c r="E15" s="145" t="n">
        <v>444323.67</v>
      </c>
      <c r="F15" s="130">
        <f>144631.44+E15+B15</f>
        <v/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1296</v>
      </c>
      <c r="K15" s="63">
        <f>IFERROR(E15/J15,0)</f>
        <v/>
      </c>
      <c r="L15" s="61" t="n">
        <v>0</v>
      </c>
      <c r="M15" s="28">
        <f>IFERROR(L15/J15,0)</f>
        <v/>
      </c>
      <c r="N15" s="46" t="n">
        <v>22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37289.5</v>
      </c>
      <c r="S15" s="89">
        <f>SUM(R15/E15)</f>
        <v/>
      </c>
      <c r="T15" s="281" t="n">
        <v>2210.65</v>
      </c>
      <c r="U15" s="9" t="n"/>
    </row>
    <row r="16" ht="15.6" customHeight="1">
      <c r="A16" s="198" t="inlineStr">
        <is>
          <t>Kyalami Corner</t>
        </is>
      </c>
      <c r="B16" s="200" t="n">
        <v>135960.2</v>
      </c>
      <c r="C16" s="73" t="n">
        <v>163350.7</v>
      </c>
      <c r="D16" s="145" t="n">
        <v>136626.65</v>
      </c>
      <c r="E16" s="145" t="n">
        <v>144449.49</v>
      </c>
      <c r="F16" s="130">
        <f>144631.44+E16+B16</f>
        <v/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529</v>
      </c>
      <c r="K16" s="63">
        <f>IFERROR(E16/J16,0)</f>
        <v/>
      </c>
      <c r="L16" s="61" t="n">
        <v>7</v>
      </c>
      <c r="M16" s="28">
        <f>IFERROR(L16/J16,0)</f>
        <v/>
      </c>
      <c r="N16" s="46" t="n">
        <v>27</v>
      </c>
      <c r="O16" s="172">
        <f>IFERROR(N16/SUM(J16),0)</f>
        <v/>
      </c>
      <c r="P16" s="260" t="n">
        <v>37610.53</v>
      </c>
      <c r="Q16" s="89">
        <f>SUM(P16/E16)</f>
        <v/>
      </c>
      <c r="R16" s="260" t="n">
        <v>23583.75</v>
      </c>
      <c r="S16" s="89">
        <f>SUM(R16/E16)</f>
        <v/>
      </c>
      <c r="T16" s="281" t="n">
        <v>7827.5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192610.4</v>
      </c>
      <c r="C17" s="73" t="n">
        <v>228911.17</v>
      </c>
      <c r="D17" s="145" t="n">
        <v>153117.04</v>
      </c>
      <c r="E17" s="145" t="n">
        <v>197350.93</v>
      </c>
      <c r="F17" s="130">
        <f>144631.44+E17+B17</f>
        <v/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722</v>
      </c>
      <c r="K17" s="63">
        <f>IFERROR(E17/J17,0)</f>
        <v/>
      </c>
      <c r="L17" s="61" t="n">
        <v>9</v>
      </c>
      <c r="M17" s="28">
        <f>IFERROR(L17/J17,0)</f>
        <v/>
      </c>
      <c r="N17" s="46" t="n">
        <v>22</v>
      </c>
      <c r="O17" s="172">
        <f>IFERROR(N17/SUM(J17),0)</f>
        <v/>
      </c>
      <c r="P17" s="260" t="n">
        <v>29658.95</v>
      </c>
      <c r="Q17" s="89">
        <f>SUM(P17/E17)</f>
        <v/>
      </c>
      <c r="R17" s="260" t="n">
        <v>27983.15</v>
      </c>
      <c r="S17" s="89">
        <f>SUM(R17/E17)</f>
        <v/>
      </c>
      <c r="T17" s="281" t="n">
        <v>5719</v>
      </c>
      <c r="U17" s="9" t="n"/>
    </row>
    <row r="18" ht="16.2" customHeight="1" thickBot="1">
      <c r="A18" s="199" t="inlineStr">
        <is>
          <t>Queenswood</t>
        </is>
      </c>
      <c r="B18" s="201" t="n">
        <v>165936.8</v>
      </c>
      <c r="C18" s="131" t="n">
        <v>184896.66</v>
      </c>
      <c r="D18" s="131" t="n">
        <v>146169.39</v>
      </c>
      <c r="E18" s="146" t="n">
        <v>171446.3</v>
      </c>
      <c r="F18" s="134">
        <f>144631.44+E18+B18</f>
        <v/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657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34</v>
      </c>
      <c r="O18" s="173">
        <f>IFERROR(N18/SUM(J18),0)</f>
        <v/>
      </c>
      <c r="P18" s="261" t="n">
        <v>29693.23</v>
      </c>
      <c r="Q18" s="116">
        <f>SUM(P18/E18)</f>
        <v/>
      </c>
      <c r="R18" s="261" t="n">
        <v>35030.62</v>
      </c>
      <c r="S18" s="116">
        <f>SUM(R18/E18)</f>
        <v/>
      </c>
      <c r="T18" s="283" t="n">
        <v>4762.75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270844.26</v>
      </c>
      <c r="C6" s="255" t="n">
        <v>201679.88</v>
      </c>
      <c r="D6" s="197" t="n">
        <v>258207.16</v>
      </c>
      <c r="E6" s="144" t="n">
        <v>200784.01</v>
      </c>
      <c r="F6" s="129" t="n">
        <v>355871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636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10</v>
      </c>
      <c r="O6" s="171">
        <f>IFERROR(N6/SUM(J6),0)</f>
        <v/>
      </c>
      <c r="P6" s="259" t="n">
        <v>38271.9</v>
      </c>
      <c r="Q6" s="128">
        <f>SUM(P6/E6)</f>
        <v/>
      </c>
      <c r="R6" s="259" t="n">
        <v>10240.75</v>
      </c>
      <c r="S6" s="128">
        <f>SUM(R6/E6)</f>
        <v/>
      </c>
      <c r="T6" s="286" t="n">
        <v>7348</v>
      </c>
      <c r="U6" s="26" t="n"/>
    </row>
    <row r="7" ht="15.6" customHeight="1">
      <c r="A7" s="409" t="inlineStr">
        <is>
          <t>Melrose Arch</t>
        </is>
      </c>
      <c r="B7" s="200" t="n">
        <v>262784.09</v>
      </c>
      <c r="C7" s="73" t="n">
        <v>184805.59</v>
      </c>
      <c r="D7" s="145" t="n">
        <v>181224.09</v>
      </c>
      <c r="E7" s="145" t="n">
        <v>220316.34</v>
      </c>
      <c r="F7" s="130" t="n">
        <v>380725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751</v>
      </c>
      <c r="K7" s="63">
        <f>IFERROR(E7/J7,0)</f>
        <v/>
      </c>
      <c r="L7" s="61" t="n">
        <v>8</v>
      </c>
      <c r="M7" s="28">
        <f>IFERROR(L7/J7,0)</f>
        <v/>
      </c>
      <c r="N7" s="46" t="n">
        <v>8</v>
      </c>
      <c r="O7" s="172">
        <f>IFERROR(N7/SUM(J7),0)</f>
        <v/>
      </c>
      <c r="P7" s="260" t="n">
        <v>54582.55</v>
      </c>
      <c r="Q7" s="89">
        <f>SUM(P7/E7)</f>
        <v/>
      </c>
      <c r="R7" s="260" t="n">
        <v>24238.4</v>
      </c>
      <c r="S7" s="89">
        <f>SUM(R7/E7)</f>
        <v/>
      </c>
      <c r="T7" s="281" t="n">
        <v>10786.53</v>
      </c>
      <c r="U7" s="26" t="n"/>
    </row>
    <row r="8" ht="15.6" customHeight="1">
      <c r="A8" s="409" t="inlineStr">
        <is>
          <t>Melville</t>
        </is>
      </c>
      <c r="B8" s="200" t="n">
        <v>141938.34</v>
      </c>
      <c r="C8" s="73" t="n">
        <v>128771.64</v>
      </c>
      <c r="D8" s="145" t="n">
        <v>91734.23</v>
      </c>
      <c r="E8" s="145" t="n">
        <v>110426.79</v>
      </c>
      <c r="F8" s="130" t="n">
        <v>175383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465</v>
      </c>
      <c r="K8" s="63">
        <f>IFERROR(E8/J8,0)</f>
        <v/>
      </c>
      <c r="L8" s="61" t="n">
        <v>1</v>
      </c>
      <c r="M8" s="28">
        <f>IFERROR(L8/J8,0)</f>
        <v/>
      </c>
      <c r="N8" s="46" t="n">
        <v>1</v>
      </c>
      <c r="O8" s="172">
        <f>IFERROR(N8/SUM(J8),0)</f>
        <v/>
      </c>
      <c r="P8" s="260" t="n">
        <v>51679.3</v>
      </c>
      <c r="Q8" s="89">
        <f>SUM(P8/E8)</f>
        <v/>
      </c>
      <c r="R8" s="260" t="n">
        <v>21150.15</v>
      </c>
      <c r="S8" s="89">
        <f>SUM(R8/E8)</f>
        <v/>
      </c>
      <c r="T8" s="281" t="n">
        <v>4889.5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165461.23</v>
      </c>
      <c r="C10" s="73" t="n">
        <v>139046.1</v>
      </c>
      <c r="D10" s="145" t="n">
        <v>140346.83</v>
      </c>
      <c r="E10" s="145" t="n">
        <v>153079.94</v>
      </c>
      <c r="F10" s="130" t="n">
        <v>229808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518</v>
      </c>
      <c r="K10" s="63">
        <f>IFERROR(E10/J10,0)</f>
        <v/>
      </c>
      <c r="L10" s="61" t="n">
        <v>2</v>
      </c>
      <c r="M10" s="28">
        <f>IFERROR(L10/J10,0)</f>
        <v/>
      </c>
      <c r="N10" s="46" t="n">
        <v>2</v>
      </c>
      <c r="O10" s="172">
        <f>IFERROR(N10/SUM(J10),0)</f>
        <v/>
      </c>
      <c r="P10" s="260" t="n">
        <v>43584.9</v>
      </c>
      <c r="Q10" s="89">
        <f>SUM(P10/E10)</f>
        <v/>
      </c>
      <c r="R10" s="260" t="n">
        <v>32129.9</v>
      </c>
      <c r="S10" s="89">
        <f>SUM(R10/E10)</f>
        <v/>
      </c>
      <c r="T10" s="281" t="n">
        <v>6343</v>
      </c>
      <c r="U10" s="26" t="n"/>
    </row>
    <row r="11" ht="15.6" customHeight="1">
      <c r="A11" s="409" t="inlineStr">
        <is>
          <t>Eagles Landing</t>
        </is>
      </c>
      <c r="B11" s="200" t="n">
        <v>257339.41</v>
      </c>
      <c r="C11" s="73" t="n">
        <v>339715.46</v>
      </c>
      <c r="D11" s="145" t="n">
        <v>234239.76</v>
      </c>
      <c r="E11" s="145" t="n">
        <v>209420.29</v>
      </c>
      <c r="F11" s="130" t="n">
        <v>356322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704</v>
      </c>
      <c r="K11" s="63">
        <f>IFERROR(E11/J11,0)</f>
        <v/>
      </c>
      <c r="L11" s="61" t="n">
        <v>8</v>
      </c>
      <c r="M11" s="28">
        <f>IFERROR(L11/J11,0)</f>
        <v/>
      </c>
      <c r="N11" s="46" t="n">
        <v>8</v>
      </c>
      <c r="O11" s="172">
        <f>IFERROR(N11/SUM(J11),0)</f>
        <v/>
      </c>
      <c r="P11" s="260" t="n">
        <v>46271.82</v>
      </c>
      <c r="Q11" s="89">
        <f>SUM(P11/E11)</f>
        <v/>
      </c>
      <c r="R11" s="260" t="n">
        <v>29974.7</v>
      </c>
      <c r="S11" s="89">
        <f>SUM(R11/E11)</f>
        <v/>
      </c>
      <c r="T11" s="281" t="n">
        <v>10802.85</v>
      </c>
      <c r="U11" s="26" t="n"/>
    </row>
    <row r="12" ht="15.6" customHeight="1">
      <c r="A12" s="198" t="inlineStr">
        <is>
          <t>Stellenbosch</t>
        </is>
      </c>
      <c r="B12" s="200" t="n">
        <v>119135.14</v>
      </c>
      <c r="C12" s="73" t="n">
        <v>151603.94</v>
      </c>
      <c r="D12" s="145" t="n">
        <v>97582.09</v>
      </c>
      <c r="E12" s="145" t="n">
        <v>131821.94</v>
      </c>
      <c r="F12" s="130" t="n">
        <v>190055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478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7</v>
      </c>
      <c r="O12" s="172">
        <f>IFERROR(N12/SUM(J12),0)</f>
        <v/>
      </c>
      <c r="P12" s="260" t="n">
        <v>16441.81</v>
      </c>
      <c r="Q12" s="89">
        <f>SUM(P12/E12)</f>
        <v/>
      </c>
      <c r="R12" s="260" t="n">
        <v>23259.1</v>
      </c>
      <c r="S12" s="89">
        <f>SUM(R12/E12)</f>
        <v/>
      </c>
      <c r="T12" s="281" t="n">
        <v>8918.75</v>
      </c>
      <c r="U12" s="26" t="n"/>
    </row>
    <row r="13" ht="15.6" customHeight="1">
      <c r="A13" s="198" t="inlineStr">
        <is>
          <t>Lynnwood</t>
        </is>
      </c>
      <c r="B13" s="200" t="n">
        <v>243836.14</v>
      </c>
      <c r="C13" s="73" t="n">
        <v>204317.08</v>
      </c>
      <c r="D13" s="145" t="n">
        <v>178649.13</v>
      </c>
      <c r="E13" s="145" t="n">
        <v>204104.97</v>
      </c>
      <c r="F13" s="130" t="n">
        <v>326890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15</v>
      </c>
      <c r="M13" s="28">
        <f>IFERROR(L13/J13,0)</f>
        <v/>
      </c>
      <c r="N13" s="46" t="n">
        <v>15</v>
      </c>
      <c r="O13" s="172">
        <f>IFERROR(N13/SUM(J13),0)</f>
        <v/>
      </c>
      <c r="P13" s="260" t="n">
        <v>31091.85</v>
      </c>
      <c r="Q13" s="89">
        <f>SUM(P13/E13)</f>
        <v/>
      </c>
      <c r="R13" s="260" t="n">
        <v>33076.6</v>
      </c>
      <c r="S13" s="89">
        <f>SUM(R13/E13)</f>
        <v/>
      </c>
      <c r="T13" s="281" t="n">
        <v>5161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444323.67</v>
      </c>
      <c r="C15" s="73" t="n">
        <v>170092.54</v>
      </c>
      <c r="D15" s="145" t="n">
        <v>241778.39</v>
      </c>
      <c r="E15" s="145" t="n">
        <v>239272.61</v>
      </c>
      <c r="F15" s="130" t="n">
        <v>411862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748</v>
      </c>
      <c r="K15" s="63">
        <f>IFERROR(E15/J15,0)</f>
        <v/>
      </c>
      <c r="L15" s="61" t="n">
        <v>15</v>
      </c>
      <c r="M15" s="28">
        <f>IFERROR(L15/J15,0)</f>
        <v/>
      </c>
      <c r="N15" s="46" t="n">
        <v>15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18971.5</v>
      </c>
      <c r="S15" s="89">
        <f>SUM(R15/E15)</f>
        <v/>
      </c>
      <c r="T15" s="281" t="n">
        <v>2821</v>
      </c>
      <c r="U15" s="9" t="n"/>
    </row>
    <row r="16" ht="15.6" customHeight="1">
      <c r="A16" s="198" t="inlineStr">
        <is>
          <t>Kyalami Corner</t>
        </is>
      </c>
      <c r="B16" s="200" t="n">
        <v>144449.49</v>
      </c>
      <c r="C16" s="73" t="n">
        <v>112828.63</v>
      </c>
      <c r="D16" s="145" t="n">
        <v>119730.4</v>
      </c>
      <c r="E16" s="145" t="n">
        <v>113632.89</v>
      </c>
      <c r="F16" s="130" t="n">
        <v>197432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433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5</v>
      </c>
      <c r="O16" s="172">
        <f>IFERROR(N16/SUM(J16),0)</f>
        <v/>
      </c>
      <c r="P16" s="260" t="n">
        <v>25392.2</v>
      </c>
      <c r="Q16" s="89">
        <f>SUM(P16/E16)</f>
        <v/>
      </c>
      <c r="R16" s="260" t="n">
        <v>28536.26</v>
      </c>
      <c r="S16" s="89">
        <f>SUM(R16/E16)</f>
        <v/>
      </c>
      <c r="T16" s="281" t="n">
        <v>7304.05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197350.93</v>
      </c>
      <c r="C17" s="73" t="n">
        <v>212238.52</v>
      </c>
      <c r="D17" s="145" t="n">
        <v>161232.97</v>
      </c>
      <c r="E17" s="145" t="n">
        <v>174425.79</v>
      </c>
      <c r="F17" s="130" t="n">
        <v>270050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677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4</v>
      </c>
      <c r="O17" s="172">
        <f>IFERROR(N17/SUM(J17),0)</f>
        <v/>
      </c>
      <c r="P17" s="260" t="n">
        <v>31671.37</v>
      </c>
      <c r="Q17" s="89">
        <f>SUM(P17/E17)</f>
        <v/>
      </c>
      <c r="R17" s="260" t="n">
        <v>32253.8</v>
      </c>
      <c r="S17" s="89">
        <f>SUM(R17/E17)</f>
        <v/>
      </c>
      <c r="T17" s="281" t="n">
        <v>4948</v>
      </c>
      <c r="U17" s="9" t="n"/>
    </row>
    <row r="18" ht="16.2" customHeight="1" thickBot="1">
      <c r="A18" s="199" t="inlineStr">
        <is>
          <t>Queenswood</t>
        </is>
      </c>
      <c r="B18" s="201" t="n">
        <v>171446.3</v>
      </c>
      <c r="C18" s="131" t="n">
        <v>183791.17</v>
      </c>
      <c r="D18" s="131" t="n">
        <v>127761.5</v>
      </c>
      <c r="E18" s="146" t="n">
        <v>144420.69</v>
      </c>
      <c r="F18" s="134" t="n">
        <v>226130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528</v>
      </c>
      <c r="K18" s="132">
        <f>IFERROR(E18/J18,0)</f>
        <v/>
      </c>
      <c r="L18" s="133" t="n">
        <v>5</v>
      </c>
      <c r="M18" s="114">
        <f>IFERROR(L18/J18,0)</f>
        <v/>
      </c>
      <c r="N18" s="115" t="n">
        <v>5</v>
      </c>
      <c r="O18" s="173">
        <f>IFERROR(N18/SUM(J18),0)</f>
        <v/>
      </c>
      <c r="P18" s="261" t="n">
        <v>15978.15</v>
      </c>
      <c r="Q18" s="116">
        <f>SUM(P18/E18)</f>
        <v/>
      </c>
      <c r="R18" s="261" t="n">
        <v>27698.4</v>
      </c>
      <c r="S18" s="116">
        <f>SUM(R18/E18)</f>
        <v/>
      </c>
      <c r="T18" s="283" t="n">
        <v>4622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1" operator="equal" dxfId="0">
      <formula>0</formula>
    </cfRule>
  </conditionalFormatting>
  <conditionalFormatting sqref="D7:D19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SUM(C6:C19)-C14-C19-C10-C9</f>
        <v/>
      </c>
      <c r="D4" s="142">
        <f>SUM(D6:D19)-D19-D10-D9</f>
        <v/>
      </c>
      <c r="E4" s="270">
        <f>SUM(E6:E19)-E19-E10-E9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200784.01</v>
      </c>
      <c r="C6" s="255" t="n">
        <v>230488.04</v>
      </c>
      <c r="D6" s="197" t="n">
        <v>217480.61</v>
      </c>
      <c r="E6" s="144" t="n">
        <v>224068.72</v>
      </c>
      <c r="F6" s="129" t="n">
        <v>579940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664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220316.34</v>
      </c>
      <c r="C7" s="73" t="n">
        <v>184585.22</v>
      </c>
      <c r="D7" s="145" t="n">
        <v>179455.47</v>
      </c>
      <c r="E7" s="145" t="n">
        <v>217553.9</v>
      </c>
      <c r="F7" s="130" t="n">
        <v>598279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730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110426.79</v>
      </c>
      <c r="C8" s="73" t="n">
        <v>114183.99</v>
      </c>
      <c r="D8" s="145" t="n">
        <v>87710.19</v>
      </c>
      <c r="E8" s="145" t="n">
        <v>114307.8</v>
      </c>
      <c r="F8" s="130" t="n">
        <v>289691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462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153079.94</v>
      </c>
      <c r="C10" s="73" t="n">
        <v>128193.73</v>
      </c>
      <c r="D10" s="145" t="n">
        <v>123492.34</v>
      </c>
      <c r="E10" s="145" t="n">
        <v>127675.73</v>
      </c>
      <c r="F10" s="130" t="n">
        <v>357483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429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209420.29</v>
      </c>
      <c r="C11" s="73" t="n">
        <v>308450.45</v>
      </c>
      <c r="D11" s="145" t="n">
        <v>250526.02</v>
      </c>
      <c r="E11" s="145" t="n">
        <v>209516.9</v>
      </c>
      <c r="F11" s="130" t="n">
        <v>565839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675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131821.94</v>
      </c>
      <c r="C12" s="73" t="n">
        <v>140833.69</v>
      </c>
      <c r="D12" s="145" t="n">
        <v>95613.78999999999</v>
      </c>
      <c r="E12" s="145" t="n">
        <v>116316.31</v>
      </c>
      <c r="F12" s="130" t="n">
        <v>306372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429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204104.97</v>
      </c>
      <c r="C13" s="73" t="n">
        <v>194170.35</v>
      </c>
      <c r="D13" s="145" t="n">
        <v>181135.9</v>
      </c>
      <c r="E13" s="145" t="n">
        <v>182058.69</v>
      </c>
      <c r="F13" s="130" t="n">
        <v>508949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642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239272.61</v>
      </c>
      <c r="C15" s="73" t="n">
        <v>269262.97</v>
      </c>
      <c r="D15" s="145" t="n">
        <v>169093.03</v>
      </c>
      <c r="E15" s="145" t="n">
        <v>335112.24</v>
      </c>
      <c r="F15" s="130" t="n">
        <v>746674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1015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113632.89</v>
      </c>
      <c r="C16" s="73" t="n">
        <v>133685.73</v>
      </c>
      <c r="D16" s="145" t="n">
        <v>112492.7</v>
      </c>
      <c r="E16" s="145" t="n">
        <v>141328.62</v>
      </c>
      <c r="F16" s="130" t="n">
        <v>338761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470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174425.79</v>
      </c>
      <c r="C17" s="73" t="n">
        <v>201945.52</v>
      </c>
      <c r="D17" s="145" t="n">
        <v>159048.68</v>
      </c>
      <c r="E17" s="145" t="n">
        <v>168235.41</v>
      </c>
      <c r="F17" s="130" t="n">
        <v>438286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612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144420.69</v>
      </c>
      <c r="C18" s="131" t="n">
        <v>172115.51</v>
      </c>
      <c r="D18" s="131" t="n">
        <v>143288.02</v>
      </c>
      <c r="E18" s="146" t="n">
        <v>146890.01</v>
      </c>
      <c r="F18" s="134" t="n">
        <v>673020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545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224068.72</v>
      </c>
      <c r="C6" s="255" t="n">
        <v>278639.6</v>
      </c>
      <c r="D6" s="197" t="n">
        <v>229636.49</v>
      </c>
      <c r="E6" s="144" t="n">
        <v>232877.04</v>
      </c>
      <c r="F6" s="129" t="n">
        <v>812817.51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720</v>
      </c>
      <c r="K6" s="124">
        <f>IFERROR(E6/J6,0)</f>
        <v/>
      </c>
      <c r="L6" s="125" t="n">
        <v>18</v>
      </c>
      <c r="M6" s="126">
        <f>IFERROR(L6/J6,0)</f>
        <v/>
      </c>
      <c r="N6" s="127" t="n">
        <v>28</v>
      </c>
      <c r="O6" s="171">
        <f>IFERROR(N6/SUM(J6),0)</f>
        <v/>
      </c>
      <c r="P6" s="259" t="n">
        <v>49221.3</v>
      </c>
      <c r="Q6" s="128">
        <f>SUM(P6/E6)</f>
        <v/>
      </c>
      <c r="R6" s="259" t="n">
        <v>5612.25</v>
      </c>
      <c r="S6" s="128">
        <f>SUM(R6/E6)</f>
        <v/>
      </c>
      <c r="T6" s="286" t="n">
        <v>7406.15</v>
      </c>
      <c r="U6" s="26" t="n"/>
    </row>
    <row r="7" ht="15.6" customHeight="1">
      <c r="A7" s="409" t="inlineStr">
        <is>
          <t>Melrose Arch</t>
        </is>
      </c>
      <c r="B7" s="200" t="n">
        <v>217553.9</v>
      </c>
      <c r="C7" s="73" t="n">
        <v>205425.5</v>
      </c>
      <c r="D7" s="145" t="n">
        <v>160664.57</v>
      </c>
      <c r="E7" s="145" t="n">
        <v>190088.51</v>
      </c>
      <c r="F7" s="130" t="n">
        <v>788367.75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695</v>
      </c>
      <c r="K7" s="63">
        <f>IFERROR(E7/J7,0)</f>
        <v/>
      </c>
      <c r="L7" s="61" t="n">
        <v>4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40640.7</v>
      </c>
      <c r="Q7" s="89">
        <f>SUM(P7/E7)</f>
        <v/>
      </c>
      <c r="R7" s="260" t="n">
        <v>26449.5</v>
      </c>
      <c r="S7" s="89">
        <f>SUM(R7/E7)</f>
        <v/>
      </c>
      <c r="T7" s="281" t="n">
        <v>11888.65</v>
      </c>
      <c r="U7" s="26" t="n"/>
    </row>
    <row r="8" ht="15.6" customHeight="1">
      <c r="A8" s="409" t="inlineStr">
        <is>
          <t>Melville</t>
        </is>
      </c>
      <c r="B8" s="200" t="n">
        <v>114307.8</v>
      </c>
      <c r="C8" s="73" t="n">
        <v>125462.4</v>
      </c>
      <c r="D8" s="145" t="n">
        <v>89032.8</v>
      </c>
      <c r="E8" s="145" t="n">
        <v>129274.54</v>
      </c>
      <c r="F8" s="130" t="n">
        <v>418966.62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542</v>
      </c>
      <c r="K8" s="63">
        <f>IFERROR(E8/J8,0)</f>
        <v/>
      </c>
      <c r="L8" s="61" t="n">
        <v>4</v>
      </c>
      <c r="M8" s="28">
        <f>IFERROR(L8/J8,0)</f>
        <v/>
      </c>
      <c r="N8" s="46" t="n">
        <v>5</v>
      </c>
      <c r="O8" s="172">
        <f>IFERROR(N8/SUM(J8),0)</f>
        <v/>
      </c>
      <c r="P8" s="260" t="n">
        <v>47648.15</v>
      </c>
      <c r="Q8" s="89">
        <f>SUM(P8/E8)</f>
        <v/>
      </c>
      <c r="R8" s="260" t="n">
        <v>24556.7</v>
      </c>
      <c r="S8" s="89">
        <f>SUM(R8/E8)</f>
        <v/>
      </c>
      <c r="T8" s="281" t="n">
        <v>4823.4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127675.73</v>
      </c>
      <c r="C10" s="73" t="n">
        <v>137627.2</v>
      </c>
      <c r="D10" s="145" t="n">
        <v>135624.76</v>
      </c>
      <c r="E10" s="145" t="n">
        <v>151703.32</v>
      </c>
      <c r="F10" s="130" t="n">
        <v>509187.09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487</v>
      </c>
      <c r="K10" s="63">
        <f>IFERROR(E10/J10,0)</f>
        <v/>
      </c>
      <c r="L10" s="61" t="n">
        <v>10</v>
      </c>
      <c r="M10" s="28">
        <f>IFERROR(L10/J10,0)</f>
        <v/>
      </c>
      <c r="N10" s="46" t="n">
        <v>12</v>
      </c>
      <c r="O10" s="172">
        <f>IFERROR(N10/SUM(J10),0)</f>
        <v/>
      </c>
      <c r="P10" s="260" t="n">
        <v>25660.85</v>
      </c>
      <c r="Q10" s="89">
        <f>SUM(P10/E10)</f>
        <v/>
      </c>
      <c r="R10" s="260" t="n">
        <v>23086.85</v>
      </c>
      <c r="S10" s="89">
        <f>SUM(R10/E10)</f>
        <v/>
      </c>
      <c r="T10" s="281" t="n">
        <v>4041</v>
      </c>
      <c r="U10" s="26" t="n"/>
    </row>
    <row r="11" ht="15.6" customHeight="1">
      <c r="A11" s="409" t="inlineStr">
        <is>
          <t>Eagles Landing</t>
        </is>
      </c>
      <c r="B11" s="200" t="n">
        <v>209516.9</v>
      </c>
      <c r="C11" s="73" t="n">
        <v>342630.1</v>
      </c>
      <c r="D11" s="145" t="n">
        <v>230674.35</v>
      </c>
      <c r="E11" s="145" t="n">
        <v>227149.97</v>
      </c>
      <c r="F11" s="130" t="n">
        <v>792989.72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800</v>
      </c>
      <c r="K11" s="63">
        <f>IFERROR(E11/J11,0)</f>
        <v/>
      </c>
      <c r="L11" s="61" t="n">
        <v>10</v>
      </c>
      <c r="M11" s="28">
        <f>IFERROR(L11/J11,0)</f>
        <v/>
      </c>
      <c r="N11" s="46" t="n">
        <v>18</v>
      </c>
      <c r="O11" s="172">
        <f>IFERROR(N11/SUM(J11),0)</f>
        <v/>
      </c>
      <c r="P11" s="260" t="n">
        <v>54574.47</v>
      </c>
      <c r="Q11" s="89">
        <f>SUM(P11/E11)</f>
        <v/>
      </c>
      <c r="R11" s="260" t="n">
        <v>21828.15</v>
      </c>
      <c r="S11" s="89">
        <f>SUM(R11/E11)</f>
        <v/>
      </c>
      <c r="T11" s="281" t="n">
        <v>12278.85</v>
      </c>
      <c r="U11" s="26" t="n"/>
    </row>
    <row r="12" ht="15.6" customHeight="1">
      <c r="A12" s="198" t="inlineStr">
        <is>
          <t>Stellenbosch</t>
        </is>
      </c>
      <c r="B12" s="200" t="n">
        <v>116316.31</v>
      </c>
      <c r="C12" s="73" t="n">
        <v>163242.4</v>
      </c>
      <c r="D12" s="145" t="n">
        <v>103180.73</v>
      </c>
      <c r="E12" s="145" t="n">
        <v>123322.3</v>
      </c>
      <c r="F12" s="130" t="n">
        <v>429694.37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453</v>
      </c>
      <c r="K12" s="63">
        <f>IFERROR(E12/J12,0)</f>
        <v/>
      </c>
      <c r="L12" s="61" t="n">
        <v>6</v>
      </c>
      <c r="M12" s="28">
        <f>IFERROR(L12/J12,0)</f>
        <v/>
      </c>
      <c r="N12" s="46" t="n">
        <v>13</v>
      </c>
      <c r="O12" s="172">
        <f>IFERROR(N12/SUM(J12),0)</f>
        <v/>
      </c>
      <c r="P12" s="260" t="n">
        <v>16299.78</v>
      </c>
      <c r="Q12" s="89">
        <f>SUM(P12/E12)</f>
        <v/>
      </c>
      <c r="R12" s="260" t="n">
        <v>27322.45</v>
      </c>
      <c r="S12" s="89">
        <f>SUM(R12/E12)</f>
        <v/>
      </c>
      <c r="T12" s="281" t="n">
        <v>7334.5</v>
      </c>
      <c r="U12" s="26" t="n"/>
    </row>
    <row r="13" ht="15.6" customHeight="1">
      <c r="A13" s="198" t="inlineStr">
        <is>
          <t>Lynnwood</t>
        </is>
      </c>
      <c r="B13" s="200" t="n">
        <v>182058.69</v>
      </c>
      <c r="C13" s="73" t="n">
        <v>206365.4</v>
      </c>
      <c r="D13" s="145" t="n">
        <v>180607.58</v>
      </c>
      <c r="E13" s="145" t="n">
        <v>220376.4</v>
      </c>
      <c r="F13" s="130" t="n">
        <v>729325.76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741</v>
      </c>
      <c r="K13" s="63">
        <f>IFERROR(E13/J13,0)</f>
        <v/>
      </c>
      <c r="L13" s="61" t="n">
        <v>14</v>
      </c>
      <c r="M13" s="28">
        <f>IFERROR(L13/J13,0)</f>
        <v/>
      </c>
      <c r="N13" s="46" t="n">
        <v>29</v>
      </c>
      <c r="O13" s="172">
        <f>IFERROR(N13/SUM(J13),0)</f>
        <v/>
      </c>
      <c r="P13" s="260" t="n">
        <v>30679.35</v>
      </c>
      <c r="Q13" s="89">
        <f>SUM(P13/E13)</f>
        <v/>
      </c>
      <c r="R13" s="260" t="n">
        <v>32380.55</v>
      </c>
      <c r="S13" s="89">
        <f>SUM(R13/E13)</f>
        <v/>
      </c>
      <c r="T13" s="281" t="n">
        <v>5209.6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335112.24</v>
      </c>
      <c r="C15" s="73" t="n">
        <v>212160.1</v>
      </c>
      <c r="D15" s="145" t="n">
        <v>241634.12</v>
      </c>
      <c r="E15" s="145" t="n">
        <v>282976.74</v>
      </c>
      <c r="F15" s="130" t="n">
        <v>1029651.53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926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21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29140.5</v>
      </c>
      <c r="S15" s="89">
        <f>SUM(R15/E15)</f>
        <v/>
      </c>
      <c r="T15" s="281" t="n">
        <v>3711.1</v>
      </c>
      <c r="U15" s="9" t="n"/>
    </row>
    <row r="16" ht="15.6" customHeight="1">
      <c r="A16" s="198" t="inlineStr">
        <is>
          <t>Kyalami Corner</t>
        </is>
      </c>
      <c r="B16" s="200" t="n">
        <v>141328.62</v>
      </c>
      <c r="C16" s="73" t="n">
        <v>122313.9</v>
      </c>
      <c r="D16" s="145" t="n">
        <v>130219.14</v>
      </c>
      <c r="E16" s="145" t="n">
        <v>133740.87</v>
      </c>
      <c r="F16" s="130" t="n">
        <v>472502.33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500</v>
      </c>
      <c r="K16" s="63">
        <f>IFERROR(E16/J16,0)</f>
        <v/>
      </c>
      <c r="L16" s="61" t="n">
        <v>5</v>
      </c>
      <c r="M16" s="28">
        <f>IFERROR(L16/J16,0)</f>
        <v/>
      </c>
      <c r="N16" s="46" t="n">
        <v>10</v>
      </c>
      <c r="O16" s="172">
        <f>IFERROR(N16/SUM(J16),0)</f>
        <v/>
      </c>
      <c r="P16" s="260" t="n">
        <v>30569.85</v>
      </c>
      <c r="Q16" s="89">
        <f>SUM(P16/E16)</f>
        <v/>
      </c>
      <c r="R16" s="260" t="n">
        <v>37677.53</v>
      </c>
      <c r="S16" s="89">
        <f>SUM(R16/E16)</f>
        <v/>
      </c>
      <c r="T16" s="281" t="n">
        <v>4542.68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168235.41</v>
      </c>
      <c r="C17" s="73" t="n">
        <v>213194.7</v>
      </c>
      <c r="D17" s="145" t="n">
        <v>149272.72</v>
      </c>
      <c r="E17" s="145" t="n">
        <v>205771.42</v>
      </c>
      <c r="F17" s="130" t="n">
        <v>644057.8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761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8</v>
      </c>
      <c r="O17" s="172">
        <f>IFERROR(N17/SUM(J17),0)</f>
        <v/>
      </c>
      <c r="P17" s="260" t="n">
        <v>37369.33</v>
      </c>
      <c r="Q17" s="89">
        <f>SUM(P17/E17)</f>
        <v/>
      </c>
      <c r="R17" s="260" t="n">
        <v>24535.6</v>
      </c>
      <c r="S17" s="89">
        <f>SUM(R17/E17)</f>
        <v/>
      </c>
      <c r="T17" s="281" t="n">
        <v>4839</v>
      </c>
      <c r="U17" s="9" t="n"/>
    </row>
    <row r="18" ht="16.2" customHeight="1" thickBot="1">
      <c r="A18" s="199" t="inlineStr">
        <is>
          <t>Queenswood</t>
        </is>
      </c>
      <c r="B18" s="201" t="n">
        <v>146890.01</v>
      </c>
      <c r="C18" s="131" t="n">
        <v>178200.5</v>
      </c>
      <c r="D18" s="131" t="n">
        <v>145568.47</v>
      </c>
      <c r="E18" s="146" t="n">
        <v>157450.38</v>
      </c>
      <c r="F18" s="134" t="n">
        <v>530471.27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16</v>
      </c>
      <c r="M18" s="114">
        <f>IFERROR(L18/J18,0)</f>
        <v/>
      </c>
      <c r="N18" s="115" t="n">
        <v>21</v>
      </c>
      <c r="O18" s="173">
        <f>IFERROR(N18/SUM(J18),0)</f>
        <v/>
      </c>
      <c r="P18" s="261" t="n">
        <v>13764.75</v>
      </c>
      <c r="Q18" s="116">
        <f>SUM(P18/E18)</f>
        <v/>
      </c>
      <c r="R18" s="261" t="n">
        <v>34505.95</v>
      </c>
      <c r="S18" s="116">
        <f>SUM(R18/E18)</f>
        <v/>
      </c>
      <c r="T18" s="283" t="n">
        <v>3256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baseColWidth="8" defaultRowHeight="14.4"/>
  <cols>
    <col width="18.5546875" bestFit="1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SUM(B6:B19)-B19-B10-B9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232877.04</v>
      </c>
      <c r="C6" s="255" t="n">
        <v>302080.39</v>
      </c>
      <c r="D6" s="197" t="n">
        <v>282442.31</v>
      </c>
      <c r="E6" s="144" t="n">
        <v>272852.79</v>
      </c>
      <c r="F6" s="129" t="n">
        <v>1031764.58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817</v>
      </c>
      <c r="K6" s="124">
        <f>IFERROR(E6/J6,0)</f>
        <v/>
      </c>
      <c r="L6" s="125" t="n">
        <v>9</v>
      </c>
      <c r="M6" s="126">
        <f>IFERROR(L6/J6,0)</f>
        <v/>
      </c>
      <c r="N6" s="127" t="n">
        <v>43</v>
      </c>
      <c r="O6" s="171">
        <f>IFERROR(N6/SUM(J6),0)</f>
        <v/>
      </c>
      <c r="P6" s="259" t="n">
        <v>53748.55</v>
      </c>
      <c r="Q6" s="128">
        <f>SUM(P6/E6)</f>
        <v/>
      </c>
      <c r="R6" s="259" t="n">
        <v>5226.55</v>
      </c>
      <c r="S6" s="128">
        <f>SUM(R6/E6)</f>
        <v/>
      </c>
      <c r="T6" s="286" t="n">
        <v>8564.9</v>
      </c>
      <c r="U6" s="26" t="n"/>
    </row>
    <row r="7" ht="15.6" customHeight="1">
      <c r="A7" s="409" t="inlineStr">
        <is>
          <t>Melrose Arch</t>
        </is>
      </c>
      <c r="B7" s="200" t="n">
        <v>190088.51</v>
      </c>
      <c r="C7" s="73" t="n">
        <v>255815.43</v>
      </c>
      <c r="D7" s="145" t="n">
        <v>187544.1</v>
      </c>
      <c r="E7" s="145" t="n">
        <v>271344.55</v>
      </c>
      <c r="F7" s="130" t="n">
        <v>1007064.29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903</v>
      </c>
      <c r="K7" s="63">
        <f>IFERROR(E7/J7,0)</f>
        <v/>
      </c>
      <c r="L7" s="61" t="n">
        <v>0</v>
      </c>
      <c r="M7" s="28">
        <f>IFERROR(L7/J7,0)</f>
        <v/>
      </c>
      <c r="N7" s="46" t="n">
        <v>17</v>
      </c>
      <c r="O7" s="172">
        <f>IFERROR(N7/SUM(J7),0)</f>
        <v/>
      </c>
      <c r="P7" s="260" t="n">
        <v>54418.57</v>
      </c>
      <c r="Q7" s="89">
        <f>SUM(P7/E7)</f>
        <v/>
      </c>
      <c r="R7" s="260" t="n">
        <v>34296.8</v>
      </c>
      <c r="S7" s="89">
        <f>SUM(R7/E7)</f>
        <v/>
      </c>
      <c r="T7" s="281" t="n">
        <v>13600.78</v>
      </c>
      <c r="U7" s="26" t="n"/>
    </row>
    <row r="8" ht="15.6" customHeight="1">
      <c r="A8" s="409" t="inlineStr">
        <is>
          <t>Melville</t>
        </is>
      </c>
      <c r="B8" s="200" t="n">
        <v>129274.54</v>
      </c>
      <c r="C8" s="73" t="n">
        <v>126931.31</v>
      </c>
      <c r="D8" s="145" t="n">
        <v>128042.35</v>
      </c>
      <c r="E8" s="145" t="n">
        <v>131075.06</v>
      </c>
      <c r="F8" s="130" t="n">
        <v>533568.5699999999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7</v>
      </c>
      <c r="M8" s="28">
        <f>IFERROR(L8/J8,0)</f>
        <v/>
      </c>
      <c r="N8" s="46" t="n">
        <v>17</v>
      </c>
      <c r="O8" s="172">
        <f>IFERROR(N8/SUM(J8),0)</f>
        <v/>
      </c>
      <c r="P8" s="260" t="n">
        <v>62486.5</v>
      </c>
      <c r="Q8" s="89">
        <f>SUM(P8/E8)</f>
        <v/>
      </c>
      <c r="R8" s="260" t="n">
        <v>19170.05</v>
      </c>
      <c r="S8" s="89">
        <f>SUM(R8/E8)</f>
        <v/>
      </c>
      <c r="T8" s="281" t="n">
        <v>3744.6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151703.32</v>
      </c>
      <c r="C10" s="73" t="n">
        <v>140870.41</v>
      </c>
      <c r="D10" s="145" t="n">
        <v>128773.27</v>
      </c>
      <c r="E10" s="145" t="n">
        <v>170567.98</v>
      </c>
      <c r="F10" s="130" t="n">
        <v>655329.21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557</v>
      </c>
      <c r="K10" s="63">
        <f>IFERROR(E10/J10,0)</f>
        <v/>
      </c>
      <c r="L10" s="61" t="n">
        <v>22</v>
      </c>
      <c r="M10" s="28">
        <f>IFERROR(L10/J10,0)</f>
        <v/>
      </c>
      <c r="N10" s="46" t="n">
        <v>34</v>
      </c>
      <c r="O10" s="172">
        <f>IFERROR(N10/SUM(J10),0)</f>
        <v/>
      </c>
      <c r="P10" s="260" t="n">
        <v>50158.32</v>
      </c>
      <c r="Q10" s="89">
        <f>SUM(P10/E10)</f>
        <v/>
      </c>
      <c r="R10" s="260" t="n">
        <v>30405.2</v>
      </c>
      <c r="S10" s="89">
        <f>SUM(R10/E10)</f>
        <v/>
      </c>
      <c r="T10" s="281" t="n">
        <v>7280.6</v>
      </c>
      <c r="U10" s="26" t="n"/>
    </row>
    <row r="11" ht="15.6" customHeight="1">
      <c r="A11" s="409" t="inlineStr">
        <is>
          <t>Eagles Landing</t>
        </is>
      </c>
      <c r="B11" s="200" t="n">
        <v>227149.97</v>
      </c>
      <c r="C11" s="73" t="n">
        <v>390245.8</v>
      </c>
      <c r="D11" s="145" t="n">
        <v>297909.15</v>
      </c>
      <c r="E11" s="145" t="n">
        <v>250178.98</v>
      </c>
      <c r="F11" s="130" t="n">
        <v>1008643.92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803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36</v>
      </c>
      <c r="O11" s="172">
        <f>IFERROR(N11/SUM(J11),0)</f>
        <v/>
      </c>
      <c r="P11" s="260" t="n">
        <v>59179.95</v>
      </c>
      <c r="Q11" s="89">
        <f>SUM(P11/E11)</f>
        <v/>
      </c>
      <c r="R11" s="260" t="n">
        <v>32446.5</v>
      </c>
      <c r="S11" s="89">
        <f>SUM(R11/E11)</f>
        <v/>
      </c>
      <c r="T11" s="281" t="n">
        <v>25567.85</v>
      </c>
      <c r="U11" s="26" t="n"/>
    </row>
    <row r="12" ht="15.6" customHeight="1">
      <c r="A12" s="198" t="inlineStr">
        <is>
          <t>Stellenbosch</t>
        </is>
      </c>
      <c r="B12" s="200" t="n">
        <v>123322.3</v>
      </c>
      <c r="C12" s="73" t="n">
        <v>136510.8</v>
      </c>
      <c r="D12" s="145" t="n">
        <v>99879.81</v>
      </c>
      <c r="E12" s="145" t="n">
        <v>131218.39</v>
      </c>
      <c r="F12" s="130" t="n">
        <v>544989.13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445</v>
      </c>
      <c r="K12" s="63">
        <f>IFERROR(E12/J12,0)</f>
        <v/>
      </c>
      <c r="L12" s="61" t="n">
        <v>3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15153.7</v>
      </c>
      <c r="Q12" s="89">
        <f>SUM(P12/E12)</f>
        <v/>
      </c>
      <c r="R12" s="260" t="n">
        <v>30819.25</v>
      </c>
      <c r="S12" s="89">
        <f>SUM(R12/E12)</f>
        <v/>
      </c>
      <c r="T12" s="281" t="n">
        <v>5844</v>
      </c>
      <c r="U12" s="26" t="n"/>
    </row>
    <row r="13" ht="15.6" customHeight="1">
      <c r="A13" s="198" t="inlineStr">
        <is>
          <t>Lynnwood</t>
        </is>
      </c>
      <c r="B13" s="200" t="n">
        <v>220376.4</v>
      </c>
      <c r="C13" s="73" t="n">
        <v>233608.46</v>
      </c>
      <c r="D13" s="145" t="n">
        <v>192771.76</v>
      </c>
      <c r="E13" s="145" t="n">
        <v>249265.48</v>
      </c>
      <c r="F13" s="130" t="n">
        <v>948384.63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789</v>
      </c>
      <c r="K13" s="63">
        <f>IFERROR(E13/J13,0)</f>
        <v/>
      </c>
      <c r="L13" s="61" t="n">
        <v>16</v>
      </c>
      <c r="M13" s="28">
        <f>IFERROR(L13/J13,0)</f>
        <v/>
      </c>
      <c r="N13" s="46" t="n">
        <v>56</v>
      </c>
      <c r="O13" s="172">
        <f>IFERROR(N13/SUM(J13),0)</f>
        <v/>
      </c>
      <c r="P13" s="260" t="n">
        <v>45478.9</v>
      </c>
      <c r="Q13" s="89">
        <f>SUM(P13/E13)</f>
        <v/>
      </c>
      <c r="R13" s="260" t="n">
        <v>32933.63</v>
      </c>
      <c r="S13" s="89">
        <f>SUM(R13/E13)</f>
        <v/>
      </c>
      <c r="T13" s="281" t="n">
        <v>5629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282976.74</v>
      </c>
      <c r="C15" s="73" t="n">
        <v>157667.46</v>
      </c>
      <c r="D15" s="145" t="n">
        <v>335289.78</v>
      </c>
      <c r="E15" s="145" t="n">
        <v>304217.65</v>
      </c>
      <c r="F15" s="130" t="n">
        <v>1283022.2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935</v>
      </c>
      <c r="K15" s="63">
        <f>IFERROR(E15/J15,0)</f>
        <v/>
      </c>
      <c r="L15" s="61" t="n">
        <v>8</v>
      </c>
      <c r="M15" s="28">
        <f>IFERROR(L15/J15,0)</f>
        <v/>
      </c>
      <c r="N15" s="46" t="n">
        <v>33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36784.5</v>
      </c>
      <c r="S15" s="89">
        <f>SUM(R15/E15)</f>
        <v/>
      </c>
      <c r="T15" s="281" t="n">
        <v>1016.1</v>
      </c>
      <c r="U15" s="9" t="n"/>
    </row>
    <row r="16" ht="15.6" customHeight="1">
      <c r="A16" s="198" t="inlineStr">
        <is>
          <t>Kyalami Corner</t>
        </is>
      </c>
      <c r="B16" s="200" t="n">
        <v>133740.87</v>
      </c>
      <c r="C16" s="73" t="n">
        <v>127075.46</v>
      </c>
      <c r="D16" s="145" t="n">
        <v>147345.05</v>
      </c>
      <c r="E16" s="145" t="n">
        <v>141716.53</v>
      </c>
      <c r="F16" s="130" t="n">
        <v>599243.5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521</v>
      </c>
      <c r="K16" s="63">
        <f>IFERROR(E16/J16,0)</f>
        <v/>
      </c>
      <c r="L16" s="61" t="n">
        <v>6</v>
      </c>
      <c r="M16" s="28">
        <f>IFERROR(L16/J16,0)</f>
        <v/>
      </c>
      <c r="N16" s="46" t="n">
        <v>22</v>
      </c>
      <c r="O16" s="172">
        <f>IFERROR(N16/SUM(J16),0)</f>
        <v/>
      </c>
      <c r="P16" s="260" t="n">
        <v>32741.71</v>
      </c>
      <c r="Q16" s="89">
        <f>SUM(P16/E16)</f>
        <v/>
      </c>
      <c r="R16" s="260" t="n">
        <v>26942.05</v>
      </c>
      <c r="S16" s="89">
        <f>SUM(R16/E16)</f>
        <v/>
      </c>
      <c r="T16" s="281" t="n">
        <v>6902</v>
      </c>
      <c r="U16" s="9" t="n"/>
      <c r="X16" s="238" t="n"/>
    </row>
    <row r="17" ht="15.6" customHeight="1">
      <c r="A17" s="198" t="inlineStr">
        <is>
          <t>Paulshof</t>
        </is>
      </c>
      <c r="B17" s="200" t="n">
        <v>205771.42</v>
      </c>
      <c r="C17" s="73" t="n">
        <v>217907.37</v>
      </c>
      <c r="D17" s="145" t="n">
        <v>184045.59</v>
      </c>
      <c r="E17" s="145" t="n">
        <v>194877.73</v>
      </c>
      <c r="F17" s="130" t="n">
        <v>809893.7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712</v>
      </c>
      <c r="K17" s="63">
        <f>IFERROR(E17/J17,0)</f>
        <v/>
      </c>
      <c r="L17" s="61" t="n">
        <v>7</v>
      </c>
      <c r="M17" s="28">
        <f>IFERROR(L17/J17,0)</f>
        <v/>
      </c>
      <c r="N17" s="46" t="n">
        <v>18</v>
      </c>
      <c r="O17" s="172">
        <f>IFERROR(N17/SUM(J17),0)</f>
        <v/>
      </c>
      <c r="P17" s="260" t="n">
        <v>47825.23</v>
      </c>
      <c r="Q17" s="89">
        <f>SUM(P17/E17)</f>
        <v/>
      </c>
      <c r="R17" s="260" t="n">
        <v>32552.75</v>
      </c>
      <c r="S17" s="89">
        <f>SUM(R17/E17)</f>
        <v/>
      </c>
      <c r="T17" s="281" t="n">
        <v>648.6</v>
      </c>
      <c r="U17" s="9" t="n"/>
    </row>
    <row r="18" ht="16.2" customHeight="1" thickBot="1">
      <c r="A18" s="199" t="inlineStr">
        <is>
          <t>Queenswood</t>
        </is>
      </c>
      <c r="B18" s="201" t="n">
        <v>157450.38</v>
      </c>
      <c r="C18" s="131" t="n">
        <v>195997.67</v>
      </c>
      <c r="D18" s="131" t="n">
        <v>163412.86</v>
      </c>
      <c r="E18" s="146" t="n">
        <v>172711.42</v>
      </c>
      <c r="F18" s="134" t="n">
        <v>680390.48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597</v>
      </c>
      <c r="K18" s="132">
        <f>IFERROR(E18/J18,0)</f>
        <v/>
      </c>
      <c r="L18" s="133" t="n">
        <v>4</v>
      </c>
      <c r="M18" s="114">
        <f>IFERROR(L18/J18,0)</f>
        <v/>
      </c>
      <c r="N18" s="115" t="n">
        <v>22</v>
      </c>
      <c r="O18" s="173">
        <f>IFERROR(N18/SUM(J18),0)</f>
        <v/>
      </c>
      <c r="P18" s="261" t="n">
        <v>22139.25</v>
      </c>
      <c r="Q18" s="116">
        <f>SUM(P18/E18)</f>
        <v/>
      </c>
      <c r="R18" s="261" t="n">
        <v>31503.65</v>
      </c>
      <c r="S18" s="116">
        <f>SUM(R18/E18)</f>
        <v/>
      </c>
      <c r="T18" s="283" t="n">
        <v>4997.5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272852.79</v>
      </c>
      <c r="C6" s="255" t="n">
        <v>277850.47</v>
      </c>
      <c r="D6" s="197" t="n">
        <v>203627.09</v>
      </c>
      <c r="E6" s="144" t="n">
        <v>273957.16</v>
      </c>
      <c r="F6" s="129" t="n">
        <v>327862.68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775</v>
      </c>
      <c r="K6" s="124">
        <f>IFERROR(E6/J6,0)</f>
        <v/>
      </c>
      <c r="L6" s="125" t="n">
        <v>5</v>
      </c>
      <c r="M6" s="126">
        <f>IFERROR(L6/J6,0)</f>
        <v/>
      </c>
      <c r="N6" s="127" t="n">
        <v>5</v>
      </c>
      <c r="O6" s="171">
        <f>IFERROR(N6/SUM(J6),0)</f>
        <v/>
      </c>
      <c r="P6" s="259" t="n">
        <v>48980.9</v>
      </c>
      <c r="Q6" s="128">
        <f>SUM(P6/E6)</f>
        <v/>
      </c>
      <c r="R6" s="259" t="n">
        <v>8768.35</v>
      </c>
      <c r="S6" s="128">
        <f>SUM(R6/E6)</f>
        <v/>
      </c>
      <c r="T6" s="286" t="n">
        <v>8945.299999999999</v>
      </c>
      <c r="U6" s="26" t="n"/>
    </row>
    <row r="7" ht="15.6" customHeight="1">
      <c r="A7" s="409" t="inlineStr">
        <is>
          <t>Melrose Arch</t>
        </is>
      </c>
      <c r="B7" s="200" t="n">
        <v>271344.55</v>
      </c>
      <c r="C7" s="73" t="n">
        <v>255721.48</v>
      </c>
      <c r="D7" s="145" t="n">
        <v>197591.81</v>
      </c>
      <c r="E7" s="145" t="n">
        <v>263550.87</v>
      </c>
      <c r="F7" s="130" t="n">
        <v>316198.88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846</v>
      </c>
      <c r="K7" s="63">
        <f>IFERROR(E7/J7,0)</f>
        <v/>
      </c>
      <c r="L7" s="61" t="n">
        <v>3</v>
      </c>
      <c r="M7" s="28">
        <f>IFERROR(L7/J7,0)</f>
        <v/>
      </c>
      <c r="N7" s="46" t="n">
        <v>3</v>
      </c>
      <c r="O7" s="172">
        <f>IFERROR(N7/SUM(J7),0)</f>
        <v/>
      </c>
      <c r="P7" s="260" t="n">
        <v>47194.75</v>
      </c>
      <c r="Q7" s="89">
        <f>SUM(P7/E7)</f>
        <v/>
      </c>
      <c r="R7" s="260" t="n">
        <v>33128</v>
      </c>
      <c r="S7" s="89">
        <f>SUM(R7/E7)</f>
        <v/>
      </c>
      <c r="T7" s="281" t="n">
        <v>10677.2</v>
      </c>
      <c r="U7" s="26" t="n"/>
    </row>
    <row r="8" ht="15.6" customHeight="1">
      <c r="A8" s="409" t="inlineStr">
        <is>
          <t>Melville</t>
        </is>
      </c>
      <c r="B8" s="200" t="n">
        <v>131075.06</v>
      </c>
      <c r="C8" s="73" t="n">
        <v>149467.36</v>
      </c>
      <c r="D8" s="145" t="n">
        <v>101409.11</v>
      </c>
      <c r="E8" s="145" t="n">
        <v>137319.82</v>
      </c>
      <c r="F8" s="130" t="n">
        <v>153792.57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537</v>
      </c>
      <c r="K8" s="63">
        <f>IFERROR(E8/J8,0)</f>
        <v/>
      </c>
      <c r="L8" s="61" t="n">
        <v>9</v>
      </c>
      <c r="M8" s="28">
        <f>IFERROR(L8/J8,0)</f>
        <v/>
      </c>
      <c r="N8" s="46" t="n">
        <v>9</v>
      </c>
      <c r="O8" s="172">
        <f>IFERROR(N8/SUM(J8),0)</f>
        <v/>
      </c>
      <c r="P8" s="260" t="n">
        <v>74449.45</v>
      </c>
      <c r="Q8" s="89">
        <f>SUM(P8/E8)</f>
        <v/>
      </c>
      <c r="R8" s="260" t="n">
        <v>12773.85</v>
      </c>
      <c r="S8" s="89">
        <f>SUM(R8/E8)</f>
        <v/>
      </c>
      <c r="T8" s="281" t="n">
        <v>5041.5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170567.98</v>
      </c>
      <c r="C10" s="73" t="n">
        <v>146819.43</v>
      </c>
      <c r="D10" s="145" t="n">
        <v>148751.57</v>
      </c>
      <c r="E10" s="145" t="n">
        <v>186729.06</v>
      </c>
      <c r="F10" s="130" t="n">
        <v>211154.92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552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</v>
      </c>
      <c r="O10" s="172">
        <f>IFERROR(N10/SUM(J10),0)</f>
        <v/>
      </c>
      <c r="P10" s="260" t="n">
        <v>49059.25</v>
      </c>
      <c r="Q10" s="89">
        <f>SUM(P10/E10)</f>
        <v/>
      </c>
      <c r="R10" s="260" t="n">
        <v>38523.85</v>
      </c>
      <c r="S10" s="89">
        <f>SUM(R10/E10)</f>
        <v/>
      </c>
      <c r="T10" s="281" t="n">
        <v>6959.1</v>
      </c>
      <c r="U10" s="26" t="n"/>
    </row>
    <row r="11" ht="15.6" customHeight="1">
      <c r="A11" s="409" t="inlineStr">
        <is>
          <t>Eagles Landing</t>
        </is>
      </c>
      <c r="B11" s="200" t="n">
        <v>250178.98</v>
      </c>
      <c r="C11" s="73" t="n">
        <v>382519.05</v>
      </c>
      <c r="D11" s="145" t="n">
        <v>285169.07</v>
      </c>
      <c r="E11" s="145" t="n">
        <v>251631.67</v>
      </c>
      <c r="F11" s="130" t="n">
        <v>286156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769</v>
      </c>
      <c r="K11" s="63">
        <f>IFERROR(E11/J11,0)</f>
        <v/>
      </c>
      <c r="L11" s="61" t="n">
        <v>7</v>
      </c>
      <c r="M11" s="28">
        <f>IFERROR(L11/J11,0)</f>
        <v/>
      </c>
      <c r="N11" s="46" t="n">
        <v>7</v>
      </c>
      <c r="O11" s="172">
        <f>IFERROR(N11/SUM(J11),0)</f>
        <v/>
      </c>
      <c r="P11" s="260" t="n">
        <v>54421.03</v>
      </c>
      <c r="Q11" s="89">
        <f>SUM(P11/E11)</f>
        <v/>
      </c>
      <c r="R11" s="260" t="n">
        <v>26713.16</v>
      </c>
      <c r="S11" s="89">
        <f>SUM(R11/E11)</f>
        <v/>
      </c>
      <c r="T11" s="281" t="n">
        <v>10642.25</v>
      </c>
      <c r="U11" s="26" t="n"/>
    </row>
    <row r="12" ht="15.6" customHeight="1">
      <c r="A12" s="198" t="inlineStr">
        <is>
          <t>Stellenbosch</t>
        </is>
      </c>
      <c r="B12" s="200" t="n">
        <v>131218.39</v>
      </c>
      <c r="C12" s="73" t="n">
        <v>144817.99</v>
      </c>
      <c r="D12" s="145" t="n">
        <v>98245.55</v>
      </c>
      <c r="E12" s="145" t="n">
        <v>141874.21</v>
      </c>
      <c r="F12" s="130" t="n">
        <v>157797.59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463</v>
      </c>
      <c r="K12" s="63">
        <f>IFERROR(E12/J12,0)</f>
        <v/>
      </c>
      <c r="L12" s="61" t="n">
        <v>5</v>
      </c>
      <c r="M12" s="28">
        <f>IFERROR(L12/J12,0)</f>
        <v/>
      </c>
      <c r="N12" s="46" t="n">
        <v>5</v>
      </c>
      <c r="O12" s="172">
        <f>IFERROR(N12/SUM(J12),0)</f>
        <v/>
      </c>
      <c r="P12" s="260" t="n">
        <v>13791.05</v>
      </c>
      <c r="Q12" s="89">
        <f>SUM(P12/E12)</f>
        <v/>
      </c>
      <c r="R12" s="260" t="n">
        <v>28969.72</v>
      </c>
      <c r="S12" s="89">
        <f>SUM(R12/E12)</f>
        <v/>
      </c>
      <c r="T12" s="281" t="n">
        <v>8824</v>
      </c>
      <c r="U12" s="26" t="n"/>
    </row>
    <row r="13" ht="15.6" customHeight="1">
      <c r="A13" s="198" t="inlineStr">
        <is>
          <t>Lynnwood</t>
        </is>
      </c>
      <c r="B13" s="200" t="n">
        <v>249265.48</v>
      </c>
      <c r="C13" s="73" t="n">
        <v>233865.68</v>
      </c>
      <c r="D13" s="145" t="n">
        <v>184334.64</v>
      </c>
      <c r="E13" s="145" t="n">
        <v>220292.82</v>
      </c>
      <c r="F13" s="130" t="n">
        <v>250499.43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751</v>
      </c>
      <c r="K13" s="63">
        <f>IFERROR(E13/J13,0)</f>
        <v/>
      </c>
      <c r="L13" s="61" t="n">
        <v>10</v>
      </c>
      <c r="M13" s="28">
        <f>IFERROR(L13/J13,0)</f>
        <v/>
      </c>
      <c r="N13" s="46" t="n">
        <v>10</v>
      </c>
      <c r="O13" s="172">
        <f>IFERROR(N13/SUM(J13),0)</f>
        <v/>
      </c>
      <c r="P13" s="260" t="n">
        <v>35095.66</v>
      </c>
      <c r="Q13" s="89">
        <f>SUM(P13/E13)</f>
        <v/>
      </c>
      <c r="R13" s="260" t="n">
        <v>38009.61</v>
      </c>
      <c r="S13" s="89">
        <f>SUM(R13/E13)</f>
        <v/>
      </c>
      <c r="T13" s="281" t="n">
        <v>5210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304217.65</v>
      </c>
      <c r="C15" s="73" t="n">
        <v>163941.61</v>
      </c>
      <c r="D15" s="145" t="n">
        <v>166850.45</v>
      </c>
      <c r="E15" s="145" t="n">
        <v>229606.86</v>
      </c>
      <c r="F15" s="130" t="n">
        <v>280453.84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733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10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23962.5</v>
      </c>
      <c r="S15" s="89">
        <f>SUM(R15/E15)</f>
        <v/>
      </c>
      <c r="T15" s="281" t="n">
        <v>1756</v>
      </c>
      <c r="U15" s="9" t="n"/>
    </row>
    <row r="16" ht="15.6" customHeight="1">
      <c r="A16" s="198" t="inlineStr">
        <is>
          <t>Kyalami Corner</t>
        </is>
      </c>
      <c r="B16" s="200" t="n">
        <v>141716.53</v>
      </c>
      <c r="C16" s="73" t="n">
        <v>156915.53</v>
      </c>
      <c r="D16" s="145" t="n">
        <v>119683.93</v>
      </c>
      <c r="E16" s="145" t="n">
        <v>163958.02</v>
      </c>
      <c r="F16" s="130" t="n">
        <v>178933.38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538</v>
      </c>
      <c r="K16" s="63">
        <f>IFERROR(E16/J16,0)</f>
        <v/>
      </c>
      <c r="L16" s="61" t="n">
        <v>4</v>
      </c>
      <c r="M16" s="28">
        <f>IFERROR(L16/J16,0)</f>
        <v/>
      </c>
      <c r="N16" s="46" t="n">
        <v>4</v>
      </c>
      <c r="O16" s="172">
        <f>IFERROR(N16/SUM(J16),0)</f>
        <v/>
      </c>
      <c r="P16" s="260" t="n">
        <v>42599.98</v>
      </c>
      <c r="Q16" s="89">
        <f>SUM(P16/E16)</f>
        <v/>
      </c>
      <c r="R16" s="260" t="n">
        <v>35679.3</v>
      </c>
      <c r="S16" s="89">
        <f>SUM(R16/E16)</f>
        <v/>
      </c>
      <c r="T16" s="281" t="n">
        <v>4594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194877.73</v>
      </c>
      <c r="C17" s="73" t="n">
        <v>204319.37</v>
      </c>
      <c r="D17" s="145" t="n">
        <v>169209.44</v>
      </c>
      <c r="E17" s="145" t="n">
        <v>202700.94</v>
      </c>
      <c r="F17" s="130" t="n">
        <v>231742.77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743</v>
      </c>
      <c r="K17" s="63">
        <f>IFERROR(E17/J17,0)</f>
        <v/>
      </c>
      <c r="L17" s="61" t="n">
        <v>1</v>
      </c>
      <c r="M17" s="28">
        <f>IFERROR(L17/J17,0)</f>
        <v/>
      </c>
      <c r="N17" s="46" t="n">
        <v>1</v>
      </c>
      <c r="O17" s="172">
        <f>IFERROR(N17/SUM(J17),0)</f>
        <v/>
      </c>
      <c r="P17" s="260" t="n">
        <v>42397.83</v>
      </c>
      <c r="Q17" s="89">
        <f>SUM(P17/E17)</f>
        <v/>
      </c>
      <c r="R17" s="260" t="n">
        <v>33472.78</v>
      </c>
      <c r="S17" s="89">
        <f>SUM(R17/E17)</f>
        <v/>
      </c>
      <c r="T17" s="281" t="n">
        <v>4402.9</v>
      </c>
      <c r="U17" s="9" t="n"/>
    </row>
    <row r="18" ht="16.2" customHeight="1" thickBot="1">
      <c r="A18" s="199" t="inlineStr">
        <is>
          <t>Queenswood</t>
        </is>
      </c>
      <c r="B18" s="201" t="n">
        <v>172711.42</v>
      </c>
      <c r="C18" s="131" t="n">
        <v>197506.48</v>
      </c>
      <c r="D18" s="131" t="n">
        <v>174159.43</v>
      </c>
      <c r="E18" s="146" t="n">
        <v>196802.72</v>
      </c>
      <c r="F18" s="134" t="n">
        <v>219594.93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666</v>
      </c>
      <c r="K18" s="132">
        <f>IFERROR(E18/J18,0)</f>
        <v/>
      </c>
      <c r="L18" s="133" t="n">
        <v>11</v>
      </c>
      <c r="M18" s="114">
        <f>IFERROR(L18/J18,0)</f>
        <v/>
      </c>
      <c r="N18" s="115" t="n">
        <v>11</v>
      </c>
      <c r="O18" s="173">
        <f>IFERROR(N18/SUM(J18),0)</f>
        <v/>
      </c>
      <c r="P18" s="261" t="n">
        <v>21149.22</v>
      </c>
      <c r="Q18" s="116">
        <f>SUM(P18/E18)</f>
        <v/>
      </c>
      <c r="R18" s="261" t="n">
        <v>34410.37</v>
      </c>
      <c r="S18" s="116">
        <f>SUM(R18/E18)</f>
        <v/>
      </c>
      <c r="T18" s="283" t="n">
        <v>5001.53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273957.16</v>
      </c>
      <c r="C6" s="255" t="n">
        <v>217085.03</v>
      </c>
      <c r="D6" s="197" t="n">
        <v>194847.13</v>
      </c>
      <c r="E6" s="144" t="n">
        <v>234970.62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263550.87</v>
      </c>
      <c r="C7" s="73" t="n">
        <v>208131.03</v>
      </c>
      <c r="D7" s="145" t="n">
        <v>204578.06</v>
      </c>
      <c r="E7" s="145" t="n">
        <v>214788.28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137319.82</v>
      </c>
      <c r="C8" s="73" t="n">
        <v>98960.8</v>
      </c>
      <c r="D8" s="145" t="n">
        <v>100528.11</v>
      </c>
      <c r="E8" s="145" t="n">
        <v>117099.82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186729.06</v>
      </c>
      <c r="C10" s="73" t="n">
        <v>130423.4</v>
      </c>
      <c r="D10" s="145" t="n">
        <v>120234.69</v>
      </c>
      <c r="E10" s="145" t="n">
        <v>165338.07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251631.67</v>
      </c>
      <c r="C11" s="73" t="n">
        <v>321781.94</v>
      </c>
      <c r="D11" s="145" t="n">
        <v>250633.44</v>
      </c>
      <c r="E11" s="145" t="n">
        <v>226756.37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141874.21</v>
      </c>
      <c r="C12" s="73" t="n">
        <v>126268.32</v>
      </c>
      <c r="D12" s="145" t="n">
        <v>98898.64999999999</v>
      </c>
      <c r="E12" s="145" t="n">
        <v>118733.3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220292.82</v>
      </c>
      <c r="C13" s="73" t="n">
        <v>195027.05</v>
      </c>
      <c r="D13" s="145" t="n">
        <v>169528.01</v>
      </c>
      <c r="E13" s="145" t="n">
        <v>208872.71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229606.86</v>
      </c>
      <c r="C15" s="73" t="n">
        <v>127940.31</v>
      </c>
      <c r="D15" s="145" t="n">
        <v>135471.54</v>
      </c>
      <c r="E15" s="145" t="n">
        <v>189611.28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163958.02</v>
      </c>
      <c r="C16" s="73" t="n">
        <v>125341.75</v>
      </c>
      <c r="D16" s="145" t="n">
        <v>114724.17</v>
      </c>
      <c r="E16" s="145" t="n">
        <v>133107.02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202700.94</v>
      </c>
      <c r="C17" s="73" t="n">
        <v>194146.4</v>
      </c>
      <c r="D17" s="145" t="n">
        <v>156416.17</v>
      </c>
      <c r="E17" s="145" t="n">
        <v>173899.05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196802.72</v>
      </c>
      <c r="C18" s="131" t="n">
        <v>151423.45</v>
      </c>
      <c r="D18" s="131" t="n">
        <v>144258.99</v>
      </c>
      <c r="E18" s="146" t="n">
        <v>138368.63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(((E4-E19-C19)-C4)/C4)</f>
        <v/>
      </c>
      <c r="H2" s="413" t="n"/>
      <c r="I2" s="400">
        <f>(((E4-E19-B19)-B4)/E4)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SUM(B6:B19)-B19-B9</f>
        <v/>
      </c>
      <c r="C4" s="135">
        <f>SUM(C6:C19)-C14-C19-C9</f>
        <v/>
      </c>
      <c r="D4" s="142">
        <f>SUM(D6:D19)-D19-D9</f>
        <v/>
      </c>
      <c r="E4" s="270">
        <f>SUM(E6:E19)-E19-E9</f>
        <v/>
      </c>
      <c r="F4" s="142">
        <f>SUM(F6:F19)-F19-F10-F9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SUM(J6:J18)</f>
        <v/>
      </c>
      <c r="K4" s="218">
        <f>AVERAGE(K5:K19)</f>
        <v/>
      </c>
      <c r="L4" s="219">
        <f>SUM(L6:L19)</f>
        <v/>
      </c>
      <c r="M4" s="220">
        <f>IFERROR(L4/J4,0)</f>
        <v/>
      </c>
      <c r="N4" s="221">
        <f>SUM(N6:N19)</f>
        <v/>
      </c>
      <c r="O4" s="222">
        <f>IFERROR(N4/SUM(J4),0)</f>
        <v/>
      </c>
      <c r="P4" s="249">
        <f>SUM(P6:P19)</f>
        <v/>
      </c>
      <c r="Q4" s="222">
        <f>SUM(P4/E4)</f>
        <v/>
      </c>
      <c r="R4" s="244">
        <f>SUM(R6:R19)</f>
        <v/>
      </c>
      <c r="S4" s="222">
        <f>SUM(R4/E4)</f>
        <v/>
      </c>
      <c r="T4" s="257">
        <f>SUM(T6:T19)</f>
        <v/>
      </c>
      <c r="U4" s="24" t="n"/>
    </row>
    <row r="5" hidden="1" ht="16.2" customHeight="1" thickBot="1">
      <c r="A5" s="403" t="inlineStr">
        <is>
          <t>Midrand</t>
        </is>
      </c>
      <c r="B5" s="404" t="n"/>
      <c r="C5" s="117" t="n"/>
      <c r="D5" s="252" t="n"/>
      <c r="E5" s="143" t="n"/>
      <c r="F5" s="252" t="n"/>
      <c r="G5" s="153">
        <f>IFERROR((SUM(E5-C5)/C5),0)</f>
        <v/>
      </c>
      <c r="H5" s="153">
        <f>IFERROR((SUM(F5-D5)/D5),0)</f>
        <v/>
      </c>
      <c r="I5" s="153">
        <f>IFERROR((SUM(G5-E5)/E5),0)</f>
        <v/>
      </c>
      <c r="J5" s="148" t="n"/>
      <c r="K5" s="119" t="n"/>
      <c r="L5" s="118" t="n"/>
      <c r="M5" s="120">
        <f>IFERROR(L5/J5,0)</f>
        <v/>
      </c>
      <c r="N5" s="121">
        <f>L5+'Nov 19 - Nov 25'!J5+'Nov 26 - Dec 2'!J5+'Dec 3 - Dec 9'!J5+'Dec 10 - Dec 16'!J5+'Dec 17 - Dec 23'!J5+'Dec 24 - Dec 30'!J5</f>
        <v/>
      </c>
      <c r="O5" s="122">
        <f>IFERROR(N5/SUM(J5),0)</f>
        <v/>
      </c>
      <c r="P5" s="245" t="n"/>
      <c r="Q5" s="122">
        <f>IFERROR(P5/SUM(J5),0)</f>
        <v/>
      </c>
      <c r="R5" s="245" t="n"/>
      <c r="S5" s="122" t="n"/>
      <c r="T5" s="280" t="n"/>
      <c r="U5" s="25" t="n"/>
    </row>
    <row r="6" ht="16.5" customHeight="1">
      <c r="A6" s="408" t="inlineStr">
        <is>
          <t>Irene Village</t>
        </is>
      </c>
      <c r="B6" s="284" t="n">
        <v>234970.62</v>
      </c>
      <c r="C6" s="255" t="n">
        <v>221316.49</v>
      </c>
      <c r="D6" s="197" t="n">
        <v>171452.75</v>
      </c>
      <c r="E6" s="144" t="n">
        <v>215349.4</v>
      </c>
      <c r="F6" s="129" t="n">
        <v>562833.3</v>
      </c>
      <c r="G6" s="287">
        <f>IFERROR((SUM(E6-C6)/C6),0)</f>
        <v/>
      </c>
      <c r="H6" s="154">
        <f>IFERROR((SUM(E6-D6)/D6),0)</f>
        <v/>
      </c>
      <c r="I6" s="266">
        <f>IFERROR((SUM(E6-B6)/B6),0)</f>
        <v/>
      </c>
      <c r="J6" s="285" t="n">
        <v>709</v>
      </c>
      <c r="K6" s="124">
        <f>IFERROR(E6/J6,0)</f>
        <v/>
      </c>
      <c r="L6" s="125" t="n">
        <v>10</v>
      </c>
      <c r="M6" s="126">
        <f>IFERROR(L6/J6,0)</f>
        <v/>
      </c>
      <c r="N6" s="127" t="n">
        <v>15</v>
      </c>
      <c r="O6" s="171">
        <f>IFERROR(N6/SUM(J6),0)</f>
        <v/>
      </c>
      <c r="P6" s="259" t="n">
        <v>47640.85</v>
      </c>
      <c r="Q6" s="128">
        <f>SUM(P6/E6)</f>
        <v/>
      </c>
      <c r="R6" s="259" t="n">
        <v>7412.8</v>
      </c>
      <c r="S6" s="128">
        <f>SUM(R6/E6)</f>
        <v/>
      </c>
      <c r="T6" s="286" t="n">
        <v>6578.5</v>
      </c>
      <c r="U6" s="26" t="n"/>
    </row>
    <row r="7" ht="15.6" customHeight="1">
      <c r="A7" s="409" t="inlineStr">
        <is>
          <t>Melrose Arch</t>
        </is>
      </c>
      <c r="B7" s="200" t="n">
        <v>214788.28</v>
      </c>
      <c r="C7" s="73" t="n">
        <v>230507.03</v>
      </c>
      <c r="D7" s="145" t="n">
        <v>153733.9</v>
      </c>
      <c r="E7" s="145" t="n">
        <v>196341.91</v>
      </c>
      <c r="F7" s="130" t="n">
        <v>530987.16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719</v>
      </c>
      <c r="K7" s="63">
        <f>IFERROR(E7/J7,0)</f>
        <v/>
      </c>
      <c r="L7" s="61" t="n">
        <v>9</v>
      </c>
      <c r="M7" s="28">
        <f>IFERROR(L7/J7,0)</f>
        <v/>
      </c>
      <c r="N7" s="46" t="n">
        <v>12</v>
      </c>
      <c r="O7" s="172">
        <f>IFERROR(N7/SUM(J7),0)</f>
        <v/>
      </c>
      <c r="P7" s="260" t="n">
        <v>50438.23</v>
      </c>
      <c r="Q7" s="89">
        <f>SUM(P7/E7)</f>
        <v/>
      </c>
      <c r="R7" s="260" t="n">
        <v>26746</v>
      </c>
      <c r="S7" s="89">
        <f>SUM(R7/E7)</f>
        <v/>
      </c>
      <c r="T7" s="281" t="n">
        <v>11205.33</v>
      </c>
      <c r="U7" s="26" t="n"/>
    </row>
    <row r="8" ht="15.6" customHeight="1">
      <c r="A8" s="409" t="inlineStr">
        <is>
          <t>Melville</t>
        </is>
      </c>
      <c r="B8" s="200" t="n">
        <v>117099.82</v>
      </c>
      <c r="C8" s="73" t="n">
        <v>105221.78</v>
      </c>
      <c r="D8" s="145" t="n">
        <v>98667.17</v>
      </c>
      <c r="E8" s="145" t="n">
        <v>108311.73</v>
      </c>
      <c r="F8" s="130" t="n">
        <v>270892.39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451</v>
      </c>
      <c r="K8" s="63">
        <f>IFERROR(E8/J8,0)</f>
        <v/>
      </c>
      <c r="L8" s="61" t="n">
        <v>4</v>
      </c>
      <c r="M8" s="28">
        <f>IFERROR(L8/J8,0)</f>
        <v/>
      </c>
      <c r="N8" s="46" t="n">
        <v>13</v>
      </c>
      <c r="O8" s="172">
        <f>IFERROR(N8/SUM(J8),0)</f>
        <v/>
      </c>
      <c r="P8" s="260" t="n">
        <v>59996.56</v>
      </c>
      <c r="Q8" s="89">
        <f>SUM(P8/E8)</f>
        <v/>
      </c>
      <c r="R8" s="260" t="n">
        <v>21397.24</v>
      </c>
      <c r="S8" s="89">
        <f>SUM(R8/E8)</f>
        <v/>
      </c>
      <c r="T8" s="281" t="n">
        <v>5645.9</v>
      </c>
      <c r="U8" s="26" t="n"/>
    </row>
    <row r="9" hidden="1" ht="15.6" customHeight="1">
      <c r="A9" s="409" t="inlineStr">
        <is>
          <t>Rosebank</t>
        </is>
      </c>
      <c r="B9" s="200" t="n"/>
      <c r="C9" s="73" t="n">
        <v>0</v>
      </c>
      <c r="D9" s="145" t="n">
        <v>0</v>
      </c>
      <c r="E9" s="145" t="n"/>
      <c r="F9" s="130" t="n"/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0</v>
      </c>
      <c r="K9" s="63">
        <f>IFERROR(E9/J9,0)</f>
        <v/>
      </c>
      <c r="L9" s="61" t="n">
        <v>0</v>
      </c>
      <c r="M9" s="28">
        <f>IFERROR(L9/J9,0)</f>
        <v/>
      </c>
      <c r="N9" s="46">
        <f>L9</f>
        <v/>
      </c>
      <c r="O9" s="172">
        <f>IFERROR(N9/SUM(J9),0)</f>
        <v/>
      </c>
      <c r="P9" s="260" t="n">
        <v>0</v>
      </c>
      <c r="Q9" s="89">
        <f>SUM(P9/E9)</f>
        <v/>
      </c>
      <c r="R9" s="260" t="n">
        <v>0</v>
      </c>
      <c r="S9" s="89">
        <f>SUM(R9/E9)</f>
        <v/>
      </c>
      <c r="T9" s="281" t="n">
        <v>0</v>
      </c>
      <c r="U9" s="26" t="n"/>
    </row>
    <row r="10" ht="15.6" customHeight="1">
      <c r="A10" s="409" t="inlineStr">
        <is>
          <t xml:space="preserve">Waterkloof </t>
        </is>
      </c>
      <c r="B10" s="200" t="n">
        <v>165338.07</v>
      </c>
      <c r="C10" s="73" t="n">
        <v>144417.04</v>
      </c>
      <c r="D10" s="145" t="n">
        <v>130654.18</v>
      </c>
      <c r="E10" s="145" t="n">
        <v>173410.07</v>
      </c>
      <c r="F10" s="130" t="n">
        <v>376492.99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496</v>
      </c>
      <c r="K10" s="63">
        <f>IFERROR(E10/J10,0)</f>
        <v/>
      </c>
      <c r="L10" s="61" t="n">
        <v>18</v>
      </c>
      <c r="M10" s="28">
        <f>IFERROR(L10/J10,0)</f>
        <v/>
      </c>
      <c r="N10" s="46" t="n">
        <v>19</v>
      </c>
      <c r="O10" s="172">
        <f>IFERROR(N10/SUM(J10),0)</f>
        <v/>
      </c>
      <c r="P10" s="260" t="n">
        <v>38378.3</v>
      </c>
      <c r="Q10" s="89">
        <f>SUM(P10/E10)</f>
        <v/>
      </c>
      <c r="R10" s="260" t="n">
        <v>29587.93</v>
      </c>
      <c r="S10" s="89">
        <f>SUM(R10/E10)</f>
        <v/>
      </c>
      <c r="T10" s="281" t="n">
        <v>4808.9</v>
      </c>
      <c r="U10" s="26" t="n"/>
    </row>
    <row r="11" ht="15.6" customHeight="1">
      <c r="A11" s="409" t="inlineStr">
        <is>
          <t>Eagles Landing</t>
        </is>
      </c>
      <c r="B11" s="200" t="n">
        <v>226756.37</v>
      </c>
      <c r="C11" s="73" t="n">
        <v>330106.03</v>
      </c>
      <c r="D11" s="145" t="n">
        <v>260839.29</v>
      </c>
      <c r="E11" s="145" t="n">
        <v>226149.13</v>
      </c>
      <c r="F11" s="130" t="n">
        <v>512912.37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749</v>
      </c>
      <c r="K11" s="63">
        <f>IFERROR(E11/J11,0)</f>
        <v/>
      </c>
      <c r="L11" s="61" t="n">
        <v>14</v>
      </c>
      <c r="M11" s="28">
        <f>IFERROR(L11/J11,0)</f>
        <v/>
      </c>
      <c r="N11" s="46" t="n">
        <v>21</v>
      </c>
      <c r="O11" s="172">
        <f>IFERROR(N11/SUM(J11),0)</f>
        <v/>
      </c>
      <c r="P11" s="260" t="n">
        <v>57481.64</v>
      </c>
      <c r="Q11" s="89">
        <f>SUM(P11/E11)</f>
        <v/>
      </c>
      <c r="R11" s="260" t="n">
        <v>25671</v>
      </c>
      <c r="S11" s="89">
        <f>SUM(R11/E11)</f>
        <v/>
      </c>
      <c r="T11" s="281" t="n">
        <v>12159.42</v>
      </c>
      <c r="U11" s="26" t="n"/>
    </row>
    <row r="12" ht="15.6" customHeight="1">
      <c r="A12" s="198" t="inlineStr">
        <is>
          <t>Stellenbosch</t>
        </is>
      </c>
      <c r="B12" s="200" t="n">
        <v>118733.3</v>
      </c>
      <c r="C12" s="73" t="n">
        <v>129133.4</v>
      </c>
      <c r="D12" s="145" t="n">
        <v>110940.29</v>
      </c>
      <c r="E12" s="145" t="n">
        <v>136993</v>
      </c>
      <c r="F12" s="130" t="n">
        <v>276530.89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469</v>
      </c>
      <c r="K12" s="63">
        <f>IFERROR(E12/J12,0)</f>
        <v/>
      </c>
      <c r="L12" s="61" t="n">
        <v>4</v>
      </c>
      <c r="M12" s="28">
        <f>IFERROR(L12/J12,0)</f>
        <v/>
      </c>
      <c r="N12" s="46" t="n">
        <v>9</v>
      </c>
      <c r="O12" s="172">
        <f>IFERROR(N12/SUM(J12),0)</f>
        <v/>
      </c>
      <c r="P12" s="260" t="n">
        <v>17562.93</v>
      </c>
      <c r="Q12" s="89">
        <f>SUM(P12/E12)</f>
        <v/>
      </c>
      <c r="R12" s="260" t="n">
        <v>23743.38</v>
      </c>
      <c r="S12" s="89">
        <f>SUM(R12/E12)</f>
        <v/>
      </c>
      <c r="T12" s="281" t="n">
        <v>9352.25</v>
      </c>
      <c r="U12" s="26" t="n"/>
    </row>
    <row r="13" ht="15.6" customHeight="1">
      <c r="A13" s="198" t="inlineStr">
        <is>
          <t>Lynnwood</t>
        </is>
      </c>
      <c r="B13" s="200" t="n">
        <v>208872.71</v>
      </c>
      <c r="C13" s="73" t="n">
        <v>222565.67</v>
      </c>
      <c r="D13" s="145" t="n">
        <v>169683.54</v>
      </c>
      <c r="E13" s="145" t="n">
        <v>207602.03</v>
      </c>
      <c r="F13" s="130" t="n">
        <v>459372.14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723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23</v>
      </c>
      <c r="O13" s="172">
        <f>IFERROR(N13/SUM(J13),0)</f>
        <v/>
      </c>
      <c r="P13" s="260" t="n">
        <v>35710.75</v>
      </c>
      <c r="Q13" s="89">
        <f>SUM(P13/E13)</f>
        <v/>
      </c>
      <c r="R13" s="260" t="n">
        <v>28081.46</v>
      </c>
      <c r="S13" s="89">
        <f>SUM(R13/E13)</f>
        <v/>
      </c>
      <c r="T13" s="281" t="n">
        <v>7008.5</v>
      </c>
      <c r="U13" s="26" t="n"/>
    </row>
    <row r="14" hidden="1" ht="15.6" customHeight="1">
      <c r="A14" s="198" t="inlineStr">
        <is>
          <t>Wellington</t>
        </is>
      </c>
      <c r="B14" s="200" t="n"/>
      <c r="C14" s="73" t="n"/>
      <c r="D14" s="145" t="n"/>
      <c r="E14" s="145" t="n"/>
      <c r="F14" s="130" t="n"/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/>
      <c r="K14" s="63">
        <f>IFERROR(E14/J14,0)</f>
        <v/>
      </c>
      <c r="L14" s="61" t="n"/>
      <c r="M14" s="28">
        <f>IFERROR(L14/J14,0)</f>
        <v/>
      </c>
      <c r="N14" s="46">
        <f>L14</f>
        <v/>
      </c>
      <c r="O14" s="172">
        <f>IFERROR(N14/SUM(J14),0)</f>
        <v/>
      </c>
      <c r="P14" s="260" t="n"/>
      <c r="Q14" s="89">
        <f>SUM(P14/E14)</f>
        <v/>
      </c>
      <c r="R14" s="260" t="n"/>
      <c r="S14" s="89">
        <f>SUM(R14/E14)</f>
        <v/>
      </c>
      <c r="T14" s="281" t="n"/>
      <c r="U14" s="26" t="n"/>
    </row>
    <row r="15" ht="15.6" customHeight="1">
      <c r="A15" s="198" t="inlineStr">
        <is>
          <t>Hartenbos</t>
        </is>
      </c>
      <c r="B15" s="200" t="n">
        <v>189611.28</v>
      </c>
      <c r="C15" s="73" t="n">
        <v>119331.58</v>
      </c>
      <c r="D15" s="145" t="n">
        <v>162458.28</v>
      </c>
      <c r="E15" s="145" t="n">
        <v>177237.64</v>
      </c>
      <c r="F15" s="130" t="n">
        <v>470065.12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612</v>
      </c>
      <c r="K15" s="63">
        <f>IFERROR(E15/J15,0)</f>
        <v/>
      </c>
      <c r="L15" s="61" t="n">
        <v>10</v>
      </c>
      <c r="M15" s="28">
        <f>IFERROR(L15/J15,0)</f>
        <v/>
      </c>
      <c r="N15" s="46" t="n">
        <v>20</v>
      </c>
      <c r="O15" s="172">
        <f>IFERROR(N15/SUM(J15),0)</f>
        <v/>
      </c>
      <c r="P15" s="260" t="n">
        <v>0</v>
      </c>
      <c r="Q15" s="89">
        <f>SUM(P15/E15)</f>
        <v/>
      </c>
      <c r="R15" s="260" t="n">
        <v>19565.5</v>
      </c>
      <c r="S15" s="89">
        <f>SUM(R15/E15)</f>
        <v/>
      </c>
      <c r="T15" s="281" t="n">
        <v>1889.6</v>
      </c>
      <c r="U15" s="9" t="n"/>
    </row>
    <row r="16" ht="15.6" customHeight="1">
      <c r="A16" s="198" t="inlineStr">
        <is>
          <t>Kyalami Corner</t>
        </is>
      </c>
      <c r="B16" s="200" t="n">
        <v>133107.02</v>
      </c>
      <c r="C16" s="73" t="n">
        <v>120194.62</v>
      </c>
      <c r="D16" s="145" t="n">
        <v>108250.42</v>
      </c>
      <c r="E16" s="145" t="n">
        <v>136813.79</v>
      </c>
      <c r="F16" s="130" t="n">
        <v>312040.4</v>
      </c>
      <c r="G16" s="288">
        <f>IFERROR((SUM(E16-C16)/C16),0)</f>
        <v/>
      </c>
      <c r="H16" s="155">
        <f>IFERROR((SUM(E16-D16)/D16),0)</f>
        <v/>
      </c>
      <c r="I16" s="263">
        <f>IFERROR((SUM(E16-B16)/B16),0)</f>
        <v/>
      </c>
      <c r="J16" s="273" t="n">
        <v>486</v>
      </c>
      <c r="K16" s="63">
        <f>IFERROR(E16/J16,0)</f>
        <v/>
      </c>
      <c r="L16" s="61" t="n">
        <v>3</v>
      </c>
      <c r="M16" s="28">
        <f>IFERROR(L16/J16,0)</f>
        <v/>
      </c>
      <c r="N16" s="46" t="n">
        <v>7</v>
      </c>
      <c r="O16" s="172">
        <f>IFERROR(N16/SUM(J16),0)</f>
        <v/>
      </c>
      <c r="P16" s="260" t="n">
        <v>34164.56</v>
      </c>
      <c r="Q16" s="89">
        <f>SUM(P16/E16)</f>
        <v/>
      </c>
      <c r="R16" s="260" t="n">
        <v>25818.14</v>
      </c>
      <c r="S16" s="89">
        <f>SUM(R16/E16)</f>
        <v/>
      </c>
      <c r="T16" s="281" t="n">
        <v>4427.8</v>
      </c>
      <c r="U16" s="9" t="n"/>
      <c r="X16" s="238" t="n"/>
    </row>
    <row r="17" ht="15.6" customHeight="1">
      <c r="A17" s="198" t="inlineStr">
        <is>
          <t>Cambridge Crossing</t>
        </is>
      </c>
      <c r="B17" s="200" t="n">
        <v>173899.05</v>
      </c>
      <c r="C17" s="73" t="n">
        <v>199724.82</v>
      </c>
      <c r="D17" s="145" t="n">
        <v>156591.71</v>
      </c>
      <c r="E17" s="145" t="n">
        <v>163417.19</v>
      </c>
      <c r="F17" s="130" t="n">
        <v>405641.82</v>
      </c>
      <c r="G17" s="288">
        <f>IFERROR((SUM(E17-C17)/C17),0)</f>
        <v/>
      </c>
      <c r="H17" s="155">
        <f>IFERROR((SUM(E17-D17)/D17),0)</f>
        <v/>
      </c>
      <c r="I17" s="263">
        <f>IFERROR((SUM(E17-B17)/B17),0)</f>
        <v/>
      </c>
      <c r="J17" s="273" t="n">
        <v>645</v>
      </c>
      <c r="K17" s="63">
        <f>IFERROR(E17/J17,0)</f>
        <v/>
      </c>
      <c r="L17" s="61" t="n">
        <v>4</v>
      </c>
      <c r="M17" s="28">
        <f>IFERROR(L17/J17,0)</f>
        <v/>
      </c>
      <c r="N17" s="46" t="n">
        <v>5</v>
      </c>
      <c r="O17" s="172">
        <f>IFERROR(N17/SUM(J17),0)</f>
        <v/>
      </c>
      <c r="P17" s="260" t="n">
        <v>36804.28</v>
      </c>
      <c r="Q17" s="89">
        <f>SUM(P17/E17)</f>
        <v/>
      </c>
      <c r="R17" s="260" t="n">
        <v>29598</v>
      </c>
      <c r="S17" s="89">
        <f>SUM(R17/E17)</f>
        <v/>
      </c>
      <c r="T17" s="281" t="n">
        <v>6925</v>
      </c>
      <c r="U17" s="9" t="n"/>
    </row>
    <row r="18" ht="16.2" customHeight="1" thickBot="1">
      <c r="A18" s="199" t="inlineStr">
        <is>
          <t>Queenswood</t>
        </is>
      </c>
      <c r="B18" s="201" t="n">
        <v>138368.63</v>
      </c>
      <c r="C18" s="131" t="n">
        <v>173318.51</v>
      </c>
      <c r="D18" s="131" t="n">
        <v>130122.88</v>
      </c>
      <c r="E18" s="146" t="n">
        <v>142536.71</v>
      </c>
      <c r="F18" s="134" t="n">
        <v>357963.56</v>
      </c>
      <c r="G18" s="289">
        <f>IFERROR((SUM(E18-C18)/C18),0)</f>
        <v/>
      </c>
      <c r="H18" s="156">
        <f>IFERROR((SUM(E18-D18)/D18),0)</f>
        <v/>
      </c>
      <c r="I18" s="264">
        <f>IFERROR((SUM(E18-B18)/B18),0)</f>
        <v/>
      </c>
      <c r="J18" s="282" t="n">
        <v>605</v>
      </c>
      <c r="K18" s="132">
        <f>IFERROR(E18/J18,0)</f>
        <v/>
      </c>
      <c r="L18" s="133" t="n">
        <v>12</v>
      </c>
      <c r="M18" s="114">
        <f>IFERROR(L18/J18,0)</f>
        <v/>
      </c>
      <c r="N18" s="115" t="n">
        <v>23</v>
      </c>
      <c r="O18" s="173">
        <f>IFERROR(N18/SUM(J18),0)</f>
        <v/>
      </c>
      <c r="P18" s="261" t="n">
        <v>14962.72</v>
      </c>
      <c r="Q18" s="116">
        <f>SUM(P18/E18)</f>
        <v/>
      </c>
      <c r="R18" s="261" t="n">
        <v>28026.92</v>
      </c>
      <c r="S18" s="116">
        <f>SUM(R18/E18)</f>
        <v/>
      </c>
      <c r="T18" s="283" t="n">
        <v>4066</v>
      </c>
      <c r="U18" s="9" t="n"/>
    </row>
    <row r="19" hidden="1" ht="16.2" customHeight="1" thickBot="1">
      <c r="A19" s="203" t="inlineStr">
        <is>
          <t>Centurion</t>
        </is>
      </c>
      <c r="B19" s="274">
        <f>'17 - 23 Jan 2022'!E19</f>
        <v/>
      </c>
      <c r="C19" s="206" t="n">
        <v>0</v>
      </c>
      <c r="D19" s="205" t="n">
        <v>0</v>
      </c>
      <c r="E19" s="267" t="n">
        <v>0</v>
      </c>
      <c r="F19" s="216" t="n">
        <v>0</v>
      </c>
      <c r="G19" s="207">
        <f>IFERROR((SUM(E19-C19)/C19),0)</f>
        <v/>
      </c>
      <c r="H19" s="265">
        <f>IFERROR((SUM(D19-A19)/A19),0)</f>
        <v/>
      </c>
      <c r="I19" s="275">
        <f>IFERROR((SUM(E19-B19)/B19),0)</f>
        <v/>
      </c>
      <c r="J19" s="276" t="n"/>
      <c r="K19" s="209">
        <f>IFERROR(E19/J19,0)</f>
        <v/>
      </c>
      <c r="L19" s="210" t="n">
        <v>0</v>
      </c>
      <c r="M19" s="277">
        <f>IFERROR(L19/J19,0)</f>
        <v/>
      </c>
      <c r="N19" s="278">
        <f>L19</f>
        <v/>
      </c>
      <c r="O19" s="213">
        <f>IFERROR(N19/SUM(J19),0)</f>
        <v/>
      </c>
      <c r="P19" s="279" t="n">
        <v>0</v>
      </c>
      <c r="Q19" s="215">
        <f>SUM(P19/E19)</f>
        <v/>
      </c>
      <c r="R19" s="279" t="n">
        <v>0</v>
      </c>
      <c r="S19" s="215">
        <f>SUM(R19/E19)</f>
        <v/>
      </c>
      <c r="T19" s="216" t="n">
        <v>0</v>
      </c>
      <c r="U19" s="9" t="n"/>
    </row>
    <row r="20">
      <c r="A20" s="81" t="n"/>
      <c r="B20" s="81" t="n"/>
      <c r="C20" s="81" t="n"/>
      <c r="D20" s="83" t="n"/>
      <c r="E20" s="395" t="n"/>
      <c r="F20" s="83" t="n"/>
      <c r="G20" s="81" t="n"/>
      <c r="H20" s="81" t="n"/>
      <c r="I20" s="81" t="n"/>
      <c r="J20" s="396" t="n"/>
      <c r="K20" s="397" t="n"/>
      <c r="L20" s="91" t="n"/>
      <c r="M20" s="397" t="n"/>
      <c r="N20" s="397" t="n"/>
      <c r="O20" s="397" t="n"/>
      <c r="P20" s="397" t="n"/>
      <c r="Q20" s="397" t="n"/>
      <c r="R20" s="397" t="n"/>
      <c r="S20" s="397" t="n"/>
      <c r="T20" s="397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 ht="15" customHeight="1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27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3" t="n"/>
      <c r="E25" s="83" t="n"/>
      <c r="F25" s="83" t="n"/>
      <c r="G25" s="81" t="n"/>
      <c r="H25" s="81" t="n"/>
      <c r="I25" s="81" t="n"/>
      <c r="J25" s="8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3" t="n"/>
      <c r="E26" s="83" t="n"/>
      <c r="F26" s="83" t="n"/>
      <c r="G26" s="81" t="n"/>
      <c r="H26" s="81" t="n"/>
      <c r="I26" s="81" t="n"/>
      <c r="J26" s="8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3" t="n"/>
      <c r="E27" s="83" t="n"/>
      <c r="F27" s="83" t="n"/>
      <c r="G27" s="81" t="n"/>
      <c r="H27" s="81" t="n"/>
      <c r="I27" s="81" t="n"/>
      <c r="J27" s="8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3" t="n"/>
      <c r="E28" s="83" t="n"/>
      <c r="F28" s="83" t="n"/>
      <c r="G28" s="81" t="n"/>
      <c r="H28" s="81" t="n"/>
      <c r="I28" s="81" t="n"/>
      <c r="J28" s="8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8">
      <c r="A38" s="81" t="n"/>
      <c r="B38" s="81" t="n"/>
      <c r="C38" s="81" t="n"/>
      <c r="D38" s="81" t="n"/>
      <c r="E38" s="81" t="n"/>
      <c r="F38" s="81" t="n"/>
      <c r="G38" s="81" t="n"/>
      <c r="H38" s="81" t="n"/>
      <c r="I38" s="81" t="n"/>
      <c r="J38" s="81" t="n"/>
      <c r="K38" s="81" t="n"/>
      <c r="L38" s="81" t="n"/>
      <c r="M38" s="81" t="n"/>
      <c r="N38" s="81" t="n"/>
      <c r="O38" s="81" t="n"/>
      <c r="P38" s="81" t="n"/>
      <c r="Q38" s="81" t="n"/>
      <c r="R38" s="81" t="n"/>
      <c r="S38" s="81" t="n"/>
      <c r="T38" s="81" t="n"/>
      <c r="U38" s="9" t="n"/>
    </row>
    <row r="39">
      <c r="A39" s="81" t="n"/>
      <c r="B39" s="81" t="n"/>
      <c r="C39" s="81" t="n"/>
      <c r="D39" s="81" t="n"/>
      <c r="E39" s="81" t="n"/>
      <c r="F39" s="81" t="n"/>
      <c r="G39" s="81" t="n"/>
      <c r="H39" s="81" t="n"/>
      <c r="I39" s="81" t="n"/>
      <c r="J39" s="81" t="n"/>
      <c r="K39" s="81" t="n"/>
      <c r="L39" s="81" t="n"/>
      <c r="M39" s="81" t="n"/>
      <c r="N39" s="81" t="n"/>
      <c r="O39" s="81" t="n"/>
      <c r="P39" s="81" t="n"/>
      <c r="Q39" s="81" t="n"/>
      <c r="R39" s="81" t="n"/>
      <c r="S39" s="81" t="n"/>
      <c r="T39" s="81" t="n"/>
      <c r="U39" s="9" t="n"/>
    </row>
    <row r="40">
      <c r="A40" s="81" t="n"/>
      <c r="B40" s="81" t="n"/>
      <c r="C40" s="81" t="n"/>
      <c r="D40" s="81" t="n"/>
      <c r="E40" s="81" t="n"/>
      <c r="F40" s="81" t="n"/>
      <c r="G40" s="81" t="n"/>
      <c r="H40" s="81" t="n"/>
      <c r="I40" s="81" t="n"/>
      <c r="J40" s="81" t="n"/>
      <c r="K40" s="81" t="n"/>
      <c r="L40" s="81" t="n"/>
      <c r="M40" s="81" t="n"/>
      <c r="N40" s="81" t="n"/>
      <c r="O40" s="81" t="n"/>
      <c r="P40" s="81" t="n"/>
      <c r="Q40" s="81" t="n"/>
      <c r="R40" s="81" t="n"/>
      <c r="S40" s="81" t="n"/>
      <c r="T40" s="81" t="n"/>
      <c r="U40" s="9" t="n"/>
    </row>
    <row r="41">
      <c r="A41" s="81" t="n"/>
      <c r="B41" s="81" t="n"/>
      <c r="C41" s="81" t="n"/>
      <c r="D41" s="81" t="n"/>
      <c r="E41" s="81" t="n"/>
      <c r="F41" s="81" t="n"/>
      <c r="G41" s="81" t="n"/>
      <c r="H41" s="81" t="n"/>
      <c r="I41" s="81" t="n"/>
      <c r="J41" s="81" t="n"/>
      <c r="K41" s="81" t="n"/>
      <c r="L41" s="81" t="n"/>
      <c r="M41" s="81" t="n"/>
      <c r="N41" s="81" t="n"/>
      <c r="O41" s="81" t="n"/>
      <c r="P41" s="81" t="n"/>
      <c r="Q41" s="81" t="n"/>
      <c r="R41" s="81" t="n"/>
      <c r="S41" s="81" t="n"/>
      <c r="T41" s="81" t="n"/>
      <c r="U41" s="9" t="n"/>
    </row>
  </sheetData>
  <conditionalFormatting sqref="C6:T19">
    <cfRule type="cellIs" priority="2" operator="equal" dxfId="0">
      <formula>0</formula>
    </cfRule>
  </conditionalFormatting>
  <conditionalFormatting sqref="D7:D19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215349.4</v>
      </c>
      <c r="C5" s="255" t="n">
        <v>228906.34</v>
      </c>
      <c r="D5" s="197" t="n">
        <v>214205.06</v>
      </c>
      <c r="E5" s="144" t="n">
        <v>255083.6</v>
      </c>
      <c r="F5" s="129" t="n">
        <v>1033266.28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796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SUM(51723.72/1.15)</f>
        <v/>
      </c>
      <c r="Q5" s="128">
        <f>SUM(P5/E5)</f>
        <v/>
      </c>
      <c r="R5" s="259">
        <f>SUM(3304.95/1.15)</f>
        <v/>
      </c>
      <c r="S5" s="128">
        <f>SUM(R5/E5)</f>
        <v/>
      </c>
      <c r="T5" s="286" t="n">
        <v>8223.5</v>
      </c>
      <c r="U5" s="26" t="n"/>
    </row>
    <row r="6" ht="15.6" customHeight="1">
      <c r="A6" s="409" t="inlineStr">
        <is>
          <t>Melrose Arch</t>
        </is>
      </c>
      <c r="B6" s="200" t="n">
        <v>196341.91</v>
      </c>
      <c r="C6" s="73" t="n">
        <v>291098.72</v>
      </c>
      <c r="D6" s="145" t="n">
        <v>173233.87</v>
      </c>
      <c r="E6" s="145" t="n">
        <v>280559.7</v>
      </c>
      <c r="F6" s="130" t="n">
        <v>1007888.78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924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SUM(43341.26/1.15)</f>
        <v/>
      </c>
      <c r="Q6" s="89">
        <f>SUM(P6/E6)</f>
        <v/>
      </c>
      <c r="R6" s="260">
        <f>SUM(41180.54/1.15)</f>
        <v/>
      </c>
      <c r="S6" s="89">
        <f>SUM(R6/E6)</f>
        <v/>
      </c>
      <c r="T6" s="281" t="n">
        <v>13820.65</v>
      </c>
      <c r="U6" s="26" t="n"/>
    </row>
    <row r="7" ht="15.6" customHeight="1">
      <c r="A7" s="409" t="inlineStr">
        <is>
          <t>Melville</t>
        </is>
      </c>
      <c r="B7" s="200" t="n">
        <v>108311.73</v>
      </c>
      <c r="C7" s="73" t="n">
        <v>129833.28</v>
      </c>
      <c r="D7" s="145" t="n">
        <v>129250.82</v>
      </c>
      <c r="E7" s="145" t="n">
        <v>142495.7</v>
      </c>
      <c r="F7" s="130" t="n">
        <v>521699.85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553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SUM(62781.77/1.15)</f>
        <v/>
      </c>
      <c r="Q7" s="89">
        <f>SUM(P7/E7)</f>
        <v/>
      </c>
      <c r="R7" s="260">
        <f>SUM(29710.52/1.15)</f>
        <v/>
      </c>
      <c r="S7" s="89">
        <f>SUM(R7/E7)</f>
        <v/>
      </c>
      <c r="T7" s="281" t="n">
        <v>3477.5</v>
      </c>
      <c r="U7" s="26" t="n"/>
    </row>
    <row r="8" ht="15.6" customHeight="1">
      <c r="A8" s="409" t="inlineStr">
        <is>
          <t xml:space="preserve">Waterkloof </t>
        </is>
      </c>
      <c r="B8" s="200" t="n">
        <v>173410.07</v>
      </c>
      <c r="C8" s="73" t="n">
        <v>163214.69</v>
      </c>
      <c r="D8" s="145" t="n">
        <v>112263.55</v>
      </c>
      <c r="E8" s="145" t="n">
        <v>168921.1</v>
      </c>
      <c r="F8" s="130" t="n">
        <v>718824.13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562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SUM(42030.15/1.15)</f>
        <v/>
      </c>
      <c r="Q8" s="89">
        <f>SUM(P8/E8)</f>
        <v/>
      </c>
      <c r="R8" s="260">
        <f>SUM(31860.98/1.15)</f>
        <v/>
      </c>
      <c r="S8" s="89">
        <f>SUM(R8/E8)</f>
        <v/>
      </c>
      <c r="T8" s="281" t="n">
        <v>6469.1</v>
      </c>
      <c r="U8" s="26" t="n"/>
    </row>
    <row r="9" ht="15.6" customHeight="1">
      <c r="A9" s="409" t="inlineStr">
        <is>
          <t>Eagles Landing</t>
        </is>
      </c>
      <c r="B9" s="200" t="n">
        <v>226149.13</v>
      </c>
      <c r="C9" s="73" t="n">
        <v>346283.66</v>
      </c>
      <c r="D9" s="145" t="n">
        <v>258592</v>
      </c>
      <c r="E9" s="145" t="n">
        <v>227402.9</v>
      </c>
      <c r="F9" s="130" t="n">
        <v>966464.41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767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SUM(47558.87/1.15)</f>
        <v/>
      </c>
      <c r="Q9" s="89">
        <f>SUM(P9/E9)</f>
        <v/>
      </c>
      <c r="R9" s="260">
        <f>SUM(30554.52/1.15)</f>
        <v/>
      </c>
      <c r="S9" s="89">
        <f>SUM(R9/E9)</f>
        <v/>
      </c>
      <c r="T9" s="281" t="n">
        <v>10857.1</v>
      </c>
      <c r="U9" s="26" t="n"/>
    </row>
    <row r="10" ht="15.6" customHeight="1">
      <c r="A10" s="198" t="inlineStr">
        <is>
          <t>Stellenbosch</t>
        </is>
      </c>
      <c r="B10" s="200" t="n">
        <v>136993</v>
      </c>
      <c r="C10" s="73" t="n">
        <v>146968.33</v>
      </c>
      <c r="D10" s="145" t="n">
        <v>110629.59</v>
      </c>
      <c r="E10" s="145" t="n">
        <v>120419.2</v>
      </c>
      <c r="F10" s="130" t="n">
        <v>533943.77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420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SUM(22283.54/1.15)</f>
        <v/>
      </c>
      <c r="Q10" s="89">
        <f>SUM(P10/E10)</f>
        <v/>
      </c>
      <c r="R10" s="260">
        <f>SUM(18687.98/1.15)</f>
        <v/>
      </c>
      <c r="S10" s="89">
        <f>SUM(R10/E10)</f>
        <v/>
      </c>
      <c r="T10" s="281" t="n">
        <v>7705.5</v>
      </c>
      <c r="U10" s="26" t="n"/>
    </row>
    <row r="11" ht="15.6" customHeight="1">
      <c r="A11" s="198" t="inlineStr">
        <is>
          <t>Lynnwood</t>
        </is>
      </c>
      <c r="B11" s="200" t="n">
        <v>207602.03</v>
      </c>
      <c r="C11" s="73" t="n">
        <v>236376.68</v>
      </c>
      <c r="D11" s="145" t="n">
        <v>201178.29</v>
      </c>
      <c r="E11" s="145" t="n">
        <v>240192.1</v>
      </c>
      <c r="F11" s="130" t="n">
        <v>907368.23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807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SUM(44382.64/1.15)</f>
        <v/>
      </c>
      <c r="Q11" s="89">
        <f>SUM(P11/E11)</f>
        <v/>
      </c>
      <c r="R11" s="260">
        <f>SUM(39044.3/1.15)</f>
        <v/>
      </c>
      <c r="S11" s="89">
        <f>SUM(R11/E11)</f>
        <v/>
      </c>
      <c r="T11" s="281" t="n">
        <v>9025.65</v>
      </c>
      <c r="U11" s="26" t="n"/>
    </row>
    <row r="12" ht="15.6" customHeight="1">
      <c r="A12" s="198" t="inlineStr">
        <is>
          <t>Hartenbos</t>
        </is>
      </c>
      <c r="B12" s="200" t="n">
        <v>177237.64</v>
      </c>
      <c r="C12" s="73" t="n">
        <v>132890.64</v>
      </c>
      <c r="D12" s="145" t="n">
        <v>139836.46</v>
      </c>
      <c r="E12" s="145" t="n">
        <v>189110.9</v>
      </c>
      <c r="F12" s="130" t="n">
        <v>836413.67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588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SUM(20462.5/1.15)</f>
        <v/>
      </c>
      <c r="S12" s="89">
        <f>SUM(R12/E12)</f>
        <v/>
      </c>
      <c r="T12" s="281" t="n">
        <v>2103</v>
      </c>
      <c r="U12" s="9" t="n"/>
    </row>
    <row r="13" ht="15.6" customHeight="1">
      <c r="A13" s="198" t="inlineStr">
        <is>
          <t>Kyalami Corner</t>
        </is>
      </c>
      <c r="B13" s="200" t="n">
        <v>136813.79</v>
      </c>
      <c r="C13" s="73" t="n">
        <v>132344.62</v>
      </c>
      <c r="D13" s="145" t="n">
        <v>131494.71</v>
      </c>
      <c r="E13" s="145" t="n">
        <v>146091</v>
      </c>
      <c r="F13" s="130" t="n">
        <v>594945.16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506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SUM(31327.28/1.15)</f>
        <v/>
      </c>
      <c r="Q13" s="89">
        <f>SUM(P13/E13)</f>
        <v/>
      </c>
      <c r="R13" s="260">
        <f>SUM(29379.25/1.15)</f>
        <v/>
      </c>
      <c r="S13" s="89">
        <f>SUM(R13/E13)</f>
        <v/>
      </c>
      <c r="T13" s="281" t="n">
        <v>6087.2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163417.19</v>
      </c>
      <c r="C14" s="73" t="n">
        <v>191675.07</v>
      </c>
      <c r="D14" s="145" t="n">
        <v>160723.01</v>
      </c>
      <c r="E14" s="145" t="n">
        <v>204056.9</v>
      </c>
      <c r="F14" s="130" t="n">
        <v>773115.95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735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SUM(51942.72/1.15)</f>
        <v/>
      </c>
      <c r="Q14" s="89">
        <f>SUM(P14/E14)</f>
        <v/>
      </c>
      <c r="R14" s="260">
        <f>SUM(31938.47/1.15)</f>
        <v/>
      </c>
      <c r="S14" s="89">
        <f>SUM(R14/E14)</f>
        <v/>
      </c>
      <c r="T14" s="281" t="n">
        <v>7059.25</v>
      </c>
      <c r="U14" s="9" t="n"/>
    </row>
    <row r="15" ht="16.2" customHeight="1" thickBot="1">
      <c r="A15" s="199" t="inlineStr">
        <is>
          <t>Queenswood</t>
        </is>
      </c>
      <c r="B15" s="201" t="n">
        <v>142536.71</v>
      </c>
      <c r="C15" s="131" t="n">
        <v>173995.83</v>
      </c>
      <c r="D15" s="131" t="n">
        <v>158856.56</v>
      </c>
      <c r="E15" s="146" t="n">
        <v>172188.5</v>
      </c>
      <c r="F15" s="134" t="n">
        <v>672688.74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655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SUM(26536.2/1.15)</f>
        <v/>
      </c>
      <c r="Q15" s="116">
        <f>SUM(P15/E15)</f>
        <v/>
      </c>
      <c r="R15" s="261">
        <f>SUM(35942.72/1.15)</f>
        <v/>
      </c>
      <c r="S15" s="116">
        <f>SUM(R15/E15)</f>
        <v/>
      </c>
      <c r="T15" s="283" t="n">
        <v>5501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2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25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2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baseColWidth="8" defaultRowHeight="14.4"/>
  <cols>
    <col width="23" customWidth="1" min="1" max="1"/>
    <col width="15.6640625" bestFit="1" customWidth="1" min="2" max="3"/>
    <col width="14.6640625" customWidth="1" min="4" max="4"/>
    <col width="14.6640625" bestFit="1" customWidth="1" min="5" max="5"/>
    <col width="14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284" t="n">
        <v>255083.6</v>
      </c>
      <c r="C5" s="255" t="n">
        <v>245133.38</v>
      </c>
      <c r="D5" s="197" t="n">
        <v>181872.52</v>
      </c>
      <c r="E5" s="144" t="n">
        <v>251460.54</v>
      </c>
      <c r="F5" s="129" t="n">
        <v>220901.97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719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200" t="n">
        <v>280559.7</v>
      </c>
      <c r="C6" s="73" t="n">
        <v>262809.12</v>
      </c>
      <c r="D6" s="145" t="n">
        <v>137349.18</v>
      </c>
      <c r="E6" s="145" t="n">
        <v>239082.84</v>
      </c>
      <c r="F6" s="130" t="n">
        <v>198404.39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704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200" t="n">
        <v>142495.7</v>
      </c>
      <c r="C7" s="73" t="n">
        <v>109274.66</v>
      </c>
      <c r="D7" s="145" t="n">
        <v>101572.01</v>
      </c>
      <c r="E7" s="145" t="n">
        <v>149569.37</v>
      </c>
      <c r="F7" s="130" t="n">
        <v>123082.3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564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200" t="n">
        <v>168921.1</v>
      </c>
      <c r="C8" s="73" t="n">
        <v>137777</v>
      </c>
      <c r="D8" s="145" t="n">
        <v>135817.28</v>
      </c>
      <c r="E8" s="145" t="n">
        <v>158760.86</v>
      </c>
      <c r="F8" s="130" t="n">
        <v>130632.26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516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200" t="n">
        <v>227402.9</v>
      </c>
      <c r="C9" s="73" t="n">
        <v>317888.62</v>
      </c>
      <c r="D9" s="145" t="n">
        <v>266240.07</v>
      </c>
      <c r="E9" s="145" t="n">
        <v>231306.95</v>
      </c>
      <c r="F9" s="130" t="n">
        <v>195571.99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735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200" t="n">
        <v>120419.2</v>
      </c>
      <c r="C10" s="73" t="n">
        <v>132072.19</v>
      </c>
      <c r="D10" s="145" t="n">
        <v>113857</v>
      </c>
      <c r="E10" s="145" t="n">
        <v>114469.5</v>
      </c>
      <c r="F10" s="130" t="n">
        <v>93155.16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426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200" t="n">
        <v>240192.1</v>
      </c>
      <c r="C11" s="73" t="n">
        <v>205934.81</v>
      </c>
      <c r="D11" s="145" t="n">
        <v>173078.97</v>
      </c>
      <c r="E11" s="145" t="n">
        <v>219193.09</v>
      </c>
      <c r="F11" s="130" t="n">
        <v>179130.75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763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200" t="n">
        <v>189110.9</v>
      </c>
      <c r="C12" s="73" t="n">
        <v>129751.08</v>
      </c>
      <c r="D12" s="145" t="n">
        <v>119262.39</v>
      </c>
      <c r="E12" s="145" t="n">
        <v>179551.44</v>
      </c>
      <c r="F12" s="130" t="n">
        <v>152583.94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590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200" t="n">
        <v>146091</v>
      </c>
      <c r="C13" s="73" t="n">
        <v>113756.77</v>
      </c>
      <c r="D13" s="145" t="n">
        <v>110387.7</v>
      </c>
      <c r="E13" s="145" t="n">
        <v>116941.95</v>
      </c>
      <c r="F13" s="130" t="n">
        <v>113840.51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426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200" t="n">
        <v>204056.9</v>
      </c>
      <c r="C14" s="73" t="n">
        <v>192169.17</v>
      </c>
      <c r="D14" s="145" t="n">
        <v>165603.89</v>
      </c>
      <c r="E14" s="145" t="n">
        <v>185670.54</v>
      </c>
      <c r="F14" s="130" t="n">
        <v>149047.8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201" t="n">
        <v>172188.5</v>
      </c>
      <c r="C15" s="131" t="n">
        <v>152760.03</v>
      </c>
      <c r="D15" s="131" t="n">
        <v>119243.86</v>
      </c>
      <c r="E15" s="146" t="n">
        <v>150423.43</v>
      </c>
      <c r="F15" s="134" t="n">
        <v>121676.7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565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C5:C15">
    <cfRule type="cellIs" priority="7" operator="equal" dxfId="0">
      <formula>0</formula>
    </cfRule>
  </conditionalFormatting>
  <conditionalFormatting sqref="D6:D15">
    <cfRule type="cellIs" priority="1" operator="equal" dxfId="0">
      <formula>0</formula>
    </cfRule>
  </conditionalFormatting>
  <conditionalFormatting sqref="E13:E15">
    <cfRule type="cellIs" priority="6" operator="equal" dxfId="0">
      <formula>0</formula>
    </cfRule>
  </conditionalFormatting>
  <conditionalFormatting sqref="E5:T15">
    <cfRule type="cellIs" priority="2" operator="equal" dxfId="0">
      <formula>0</formula>
    </cfRule>
  </conditionalFormatting>
  <conditionalFormatting sqref="T13:T15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251460.54</v>
      </c>
      <c r="C5" s="255" t="n">
        <v>236155.67</v>
      </c>
      <c r="D5" s="197" t="n">
        <v>159835.8</v>
      </c>
      <c r="E5" s="144" t="n">
        <v>235189.99</v>
      </c>
      <c r="F5" s="129" t="n">
        <v>456091.96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>
        <f>SUM(53958.71/1.15)</f>
        <v/>
      </c>
      <c r="Q5" s="128">
        <f>SUM(P5/E5)</f>
        <v/>
      </c>
      <c r="R5" s="259">
        <f>SUM(14416.3/1.15)</f>
        <v/>
      </c>
      <c r="S5" s="128">
        <f>SUM(R5/E5)</f>
        <v/>
      </c>
      <c r="T5" s="286" t="n">
        <v>16874.3</v>
      </c>
      <c r="U5" s="26" t="n"/>
    </row>
    <row r="6" ht="15.6" customHeight="1">
      <c r="A6" s="409" t="inlineStr">
        <is>
          <t>Melrose Arch</t>
        </is>
      </c>
      <c r="B6" s="145" t="n">
        <v>239082.84</v>
      </c>
      <c r="C6" s="73" t="n">
        <v>218653.28</v>
      </c>
      <c r="D6" s="145" t="n">
        <v>119124.17</v>
      </c>
      <c r="E6" s="145" t="n">
        <v>187075.01</v>
      </c>
      <c r="F6" s="130" t="n">
        <v>385479.4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>
        <f>SUM(35453.75/1.15)</f>
        <v/>
      </c>
      <c r="Q6" s="89">
        <f>SUM(P6/E6)</f>
        <v/>
      </c>
      <c r="R6" s="260">
        <f>SUM(25747.95/1.15)</f>
        <v/>
      </c>
      <c r="S6" s="89">
        <f>SUM(R6/E6)</f>
        <v/>
      </c>
      <c r="T6" s="281" t="n">
        <v>12267.65</v>
      </c>
      <c r="U6" s="26" t="n"/>
    </row>
    <row r="7" ht="15.6" customHeight="1">
      <c r="A7" s="409" t="inlineStr">
        <is>
          <t>Melville</t>
        </is>
      </c>
      <c r="B7" s="145" t="n">
        <v>149569.37</v>
      </c>
      <c r="C7" s="73" t="n">
        <v>110836.84</v>
      </c>
      <c r="D7" s="145" t="n">
        <v>96926.07000000001</v>
      </c>
      <c r="E7" s="145" t="n">
        <v>124465.16</v>
      </c>
      <c r="F7" s="130" t="n">
        <v>247547.46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>
        <f>SUM(79191.41/1.15)</f>
        <v/>
      </c>
      <c r="Q7" s="89">
        <f>SUM(P7/E7)</f>
        <v/>
      </c>
      <c r="R7" s="260">
        <f>SUM(21598.6/1.15)</f>
        <v/>
      </c>
      <c r="S7" s="89">
        <f>SUM(R7/E7)</f>
        <v/>
      </c>
      <c r="T7" s="281" t="n">
        <v>4428.04</v>
      </c>
      <c r="U7" s="26" t="n"/>
    </row>
    <row r="8" ht="15.6" customHeight="1">
      <c r="A8" s="409" t="inlineStr">
        <is>
          <t xml:space="preserve">Waterkloof </t>
        </is>
      </c>
      <c r="B8" s="145" t="n">
        <v>158760.86</v>
      </c>
      <c r="C8" s="73" t="n">
        <v>143400.2</v>
      </c>
      <c r="D8" s="145" t="n">
        <v>23848.77</v>
      </c>
      <c r="E8" s="145" t="n">
        <v>135600.74</v>
      </c>
      <c r="F8" s="130" t="n">
        <v>266233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>
        <f>SUM(46333.06/1.15)</f>
        <v/>
      </c>
      <c r="Q8" s="89">
        <f>SUM(P8/E8)</f>
        <v/>
      </c>
      <c r="R8" s="260">
        <f>SUM(31869.4/1.15)</f>
        <v/>
      </c>
      <c r="S8" s="89">
        <f>SUM(R8/E8)</f>
        <v/>
      </c>
      <c r="T8" s="281" t="n">
        <v>4562.71</v>
      </c>
      <c r="U8" s="26" t="n"/>
    </row>
    <row r="9" ht="15.6" customHeight="1">
      <c r="A9" s="409" t="inlineStr">
        <is>
          <t>Eagles Landing</t>
        </is>
      </c>
      <c r="B9" s="145" t="n">
        <v>231306.95</v>
      </c>
      <c r="C9" s="73" t="n">
        <v>345738.87</v>
      </c>
      <c r="D9" s="145" t="n">
        <v>222935.03</v>
      </c>
      <c r="E9" s="145" t="n">
        <v>171418.89</v>
      </c>
      <c r="F9" s="130" t="n">
        <v>366990.88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>
        <f>SUM(41637.61/1.15)</f>
        <v/>
      </c>
      <c r="Q9" s="89">
        <f>SUM(P9/E9)</f>
        <v/>
      </c>
      <c r="R9" s="260">
        <f>SUM(37672.71/1.15)</f>
        <v/>
      </c>
      <c r="S9" s="89">
        <f>SUM(R9/E9)</f>
        <v/>
      </c>
      <c r="T9" s="281" t="n">
        <v>8424.299999999999</v>
      </c>
      <c r="U9" s="26" t="n"/>
    </row>
    <row r="10" ht="15.6" customHeight="1">
      <c r="A10" s="198" t="inlineStr">
        <is>
          <t>Stellenbosch</t>
        </is>
      </c>
      <c r="B10" s="145" t="n">
        <v>114469.5</v>
      </c>
      <c r="C10" s="73" t="n">
        <v>139419.05</v>
      </c>
      <c r="D10" s="145" t="n">
        <v>95672.92999999999</v>
      </c>
      <c r="E10" s="145" t="n">
        <v>120010.86</v>
      </c>
      <c r="F10" s="130" t="n">
        <v>213166.02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>
        <f>SUM(12022.07/1.15)</f>
        <v/>
      </c>
      <c r="Q10" s="89">
        <f>SUM(P10/E10)</f>
        <v/>
      </c>
      <c r="R10" s="260">
        <f>SUM(22410.43/1.15)</f>
        <v/>
      </c>
      <c r="S10" s="89">
        <f>SUM(R10/E10)</f>
        <v/>
      </c>
      <c r="T10" s="281" t="n">
        <v>10440.5</v>
      </c>
      <c r="U10" s="26" t="n"/>
    </row>
    <row r="11" ht="15.6" customHeight="1">
      <c r="A11" s="198" t="inlineStr">
        <is>
          <t>Lynnwood</t>
        </is>
      </c>
      <c r="B11" s="145" t="n">
        <v>219193.09</v>
      </c>
      <c r="C11" s="73" t="n">
        <v>208358.17</v>
      </c>
      <c r="D11" s="145" t="n">
        <v>159408.99</v>
      </c>
      <c r="E11" s="145" t="n">
        <v>166400</v>
      </c>
      <c r="F11" s="130" t="n">
        <v>345531.53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>
        <f>SUM(50279.47/1.15)</f>
        <v/>
      </c>
      <c r="Q11" s="89">
        <f>SUM(P11/E11)</f>
        <v/>
      </c>
      <c r="R11" s="260">
        <f>SUM(36598/1.15)</f>
        <v/>
      </c>
      <c r="S11" s="89">
        <f>SUM(R11/E11)</f>
        <v/>
      </c>
      <c r="T11" s="281" t="n">
        <v>7633.5</v>
      </c>
      <c r="U11" s="26" t="n"/>
    </row>
    <row r="12" ht="15.6" customHeight="1">
      <c r="A12" s="198" t="inlineStr">
        <is>
          <t>Hartenbos</t>
        </is>
      </c>
      <c r="B12" s="145" t="n">
        <v>179551.44</v>
      </c>
      <c r="C12" s="73" t="n">
        <v>170108.44</v>
      </c>
      <c r="D12" s="145" t="n">
        <v>140724.15</v>
      </c>
      <c r="E12" s="145" t="n">
        <v>184907.55</v>
      </c>
      <c r="F12" s="130" t="n">
        <v>337491.49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0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806</v>
      </c>
      <c r="U12" s="9" t="n"/>
    </row>
    <row r="13" ht="15.6" customHeight="1">
      <c r="A13" s="198" t="inlineStr">
        <is>
          <t>Kyalami Corner</t>
        </is>
      </c>
      <c r="B13" s="145" t="n">
        <v>116941.95</v>
      </c>
      <c r="C13" s="73" t="n">
        <v>115659.7</v>
      </c>
      <c r="D13" s="145" t="n">
        <v>118382</v>
      </c>
      <c r="E13" s="145" t="n">
        <v>114619.6</v>
      </c>
      <c r="F13" s="130" t="n">
        <v>228460.11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>
        <f>SUM(38735.84/1.15)</f>
        <v/>
      </c>
      <c r="Q13" s="89">
        <f>SUM(P13/E13)</f>
        <v/>
      </c>
      <c r="R13" s="260">
        <f>SUM(26322.21/1.15)</f>
        <v/>
      </c>
      <c r="S13" s="89">
        <f>SUM(R13/E13)</f>
        <v/>
      </c>
      <c r="T13" s="281" t="n">
        <v>6397.5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185670.54</v>
      </c>
      <c r="C14" s="73" t="n">
        <v>183813.79</v>
      </c>
      <c r="D14" s="145" t="n">
        <v>134885.61</v>
      </c>
      <c r="E14" s="145" t="n">
        <v>152915.98</v>
      </c>
      <c r="F14" s="130" t="n">
        <v>301963.78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>
        <f>SUM(41118.29/1.15)</f>
        <v/>
      </c>
      <c r="Q14" s="89">
        <f>SUM(P14/E14)</f>
        <v/>
      </c>
      <c r="R14" s="260">
        <f>SUM(32585.07/1.15)</f>
        <v/>
      </c>
      <c r="S14" s="89">
        <f>SUM(R14/E14)</f>
        <v/>
      </c>
      <c r="T14" s="281" t="n">
        <v>5166.5</v>
      </c>
      <c r="U14" s="9" t="n"/>
    </row>
    <row r="15" ht="16.2" customHeight="1" thickBot="1">
      <c r="A15" s="199" t="inlineStr">
        <is>
          <t>Queenswood</t>
        </is>
      </c>
      <c r="B15" s="146" t="n">
        <v>150423.43</v>
      </c>
      <c r="C15" s="131" t="n">
        <v>169068.42</v>
      </c>
      <c r="D15" s="131" t="n">
        <v>121244.88</v>
      </c>
      <c r="E15" s="146" t="n">
        <v>132954.25</v>
      </c>
      <c r="F15" s="134" t="n">
        <v>254630.95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>
        <f>SUM(24638.23/1.15)</f>
        <v/>
      </c>
      <c r="Q15" s="116">
        <f>SUM(P15/E15)</f>
        <v/>
      </c>
      <c r="R15" s="261">
        <f>SUM(30005.31/1.15)</f>
        <v/>
      </c>
      <c r="S15" s="116">
        <f>SUM(R15/E15)</f>
        <v/>
      </c>
      <c r="T15" s="283" t="n">
        <v>4314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3" operator="equal" dxfId="0">
      <formula>0</formula>
    </cfRule>
  </conditionalFormatting>
  <conditionalFormatting sqref="E13:E15">
    <cfRule type="cellIs" priority="8" operator="equal" dxfId="0">
      <formula>0</formula>
    </cfRule>
  </conditionalFormatting>
  <conditionalFormatting sqref="E5:T15">
    <cfRule type="cellIs" priority="4" operator="equal" dxfId="0">
      <formula>0</formula>
    </cfRule>
  </conditionalFormatting>
  <conditionalFormatting sqref="T13:T15">
    <cfRule type="cellIs" priority="7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235189.99</v>
      </c>
      <c r="C5" s="255" t="n">
        <v>250573.07</v>
      </c>
      <c r="D5" s="197" t="n">
        <v>172041.05</v>
      </c>
      <c r="E5" s="144" t="n">
        <v>279205.43</v>
      </c>
      <c r="F5" s="129" t="n">
        <v>735297.39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187075.01</v>
      </c>
      <c r="C6" s="73" t="n">
        <v>248168.49</v>
      </c>
      <c r="D6" s="145" t="n">
        <v>112438.92</v>
      </c>
      <c r="E6" s="145" t="n">
        <v>221679.83</v>
      </c>
      <c r="F6" s="130" t="n">
        <v>636782.73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124465.16</v>
      </c>
      <c r="C7" s="73" t="n">
        <v>99413.99000000001</v>
      </c>
      <c r="D7" s="145" t="n">
        <v>93597.64</v>
      </c>
      <c r="E7" s="145" t="n">
        <v>113165.51</v>
      </c>
      <c r="F7" s="130" t="n">
        <v>360712.97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135600.74</v>
      </c>
      <c r="C8" s="73" t="n">
        <v>148386.36</v>
      </c>
      <c r="D8" s="145" t="n"/>
      <c r="E8" s="145" t="n">
        <v>146503.88</v>
      </c>
      <c r="F8" s="130" t="n">
        <v>430926.79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171418.89</v>
      </c>
      <c r="C9" s="73" t="n">
        <v>350406.82</v>
      </c>
      <c r="D9" s="145" t="n">
        <v>198333.11</v>
      </c>
      <c r="E9" s="145" t="n">
        <v>228284.19</v>
      </c>
      <c r="F9" s="130" t="n">
        <v>627809.38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120010.86</v>
      </c>
      <c r="C10" s="73" t="n">
        <v>137174.82</v>
      </c>
      <c r="D10" s="145" t="n">
        <v>90987.89</v>
      </c>
      <c r="E10" s="145" t="n">
        <v>103901.14</v>
      </c>
      <c r="F10" s="130" t="n">
        <v>317067.16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166400</v>
      </c>
      <c r="C11" s="73" t="n">
        <v>203275.18</v>
      </c>
      <c r="D11" s="145" t="n">
        <v>152470.51</v>
      </c>
      <c r="E11" s="145" t="n">
        <v>204276.87</v>
      </c>
      <c r="F11" s="130" t="n">
        <v>57060.04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184907.55</v>
      </c>
      <c r="C12" s="73" t="n">
        <v>204166.38</v>
      </c>
      <c r="D12" s="145" t="n">
        <v>151189.84</v>
      </c>
      <c r="E12" s="145" t="n">
        <v>216553.12</v>
      </c>
      <c r="F12" s="130" t="n">
        <v>554044.61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114619.6</v>
      </c>
      <c r="C13" s="73" t="n">
        <v>119243.42</v>
      </c>
      <c r="D13" s="145" t="n">
        <v>104993.53</v>
      </c>
      <c r="E13" s="145" t="n">
        <v>128209.03</v>
      </c>
      <c r="F13" s="130" t="n">
        <v>368859.21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152915.98</v>
      </c>
      <c r="C14" s="73" t="n">
        <v>193070.24</v>
      </c>
      <c r="D14" s="145" t="n">
        <v>116056.04</v>
      </c>
      <c r="E14" s="145" t="n">
        <v>168308.93</v>
      </c>
      <c r="F14" s="130" t="n">
        <v>490249.9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132954.25</v>
      </c>
      <c r="C15" s="131" t="n">
        <v>145702.12</v>
      </c>
      <c r="D15" s="131" t="n">
        <v>134734.75</v>
      </c>
      <c r="E15" s="146" t="n">
        <v>146831.6</v>
      </c>
      <c r="F15" s="134" t="n">
        <v>422494.31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279205.43</v>
      </c>
      <c r="C5" s="255" t="n">
        <v>250573.07</v>
      </c>
      <c r="D5" s="197" t="n">
        <v>132613.41</v>
      </c>
      <c r="E5" s="144" t="n">
        <v>191035.01</v>
      </c>
      <c r="F5" s="129" t="n">
        <v>926332.4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221679.83</v>
      </c>
      <c r="C6" s="73" t="n">
        <v>248168.49</v>
      </c>
      <c r="D6" s="145" t="n">
        <v>110299.53</v>
      </c>
      <c r="E6" s="145" t="n">
        <v>210378.92</v>
      </c>
      <c r="F6" s="130" t="n">
        <v>847161.65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113165.51</v>
      </c>
      <c r="C7" s="73" t="n">
        <v>99413.99000000001</v>
      </c>
      <c r="D7" s="145" t="n">
        <v>88716.48</v>
      </c>
      <c r="E7" s="145" t="n">
        <v>133572.35</v>
      </c>
      <c r="F7" s="130" t="n">
        <v>494285.32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146503.88</v>
      </c>
      <c r="C8" s="73" t="n">
        <v>148386.36</v>
      </c>
      <c r="D8" s="145" t="n"/>
      <c r="E8" s="145" t="n">
        <v>179262.21</v>
      </c>
      <c r="F8" s="130" t="n">
        <v>610189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228284.19</v>
      </c>
      <c r="C9" s="73" t="n">
        <v>350406.82</v>
      </c>
      <c r="D9" s="145" t="n">
        <v>177064.58</v>
      </c>
      <c r="E9" s="145" t="n">
        <v>216386.55</v>
      </c>
      <c r="F9" s="130" t="n">
        <v>844195.9300000001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103901.14</v>
      </c>
      <c r="C10" s="73" t="n">
        <v>137174.82</v>
      </c>
      <c r="D10" s="145" t="n">
        <v>93610.00999999999</v>
      </c>
      <c r="E10" s="145" t="n">
        <v>140792.72</v>
      </c>
      <c r="F10" s="130" t="n">
        <v>457859.88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204276.87</v>
      </c>
      <c r="C11" s="73" t="n">
        <v>203275.18</v>
      </c>
      <c r="D11" s="145" t="n">
        <v>151392.86</v>
      </c>
      <c r="E11" s="145" t="n">
        <v>183536.57</v>
      </c>
      <c r="F11" s="130" t="n">
        <v>754142.61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216553.12</v>
      </c>
      <c r="C12" s="73" t="n">
        <v>204166.38</v>
      </c>
      <c r="D12" s="145" t="n">
        <v>108896.3</v>
      </c>
      <c r="E12" s="145" t="n">
        <v>201252.54</v>
      </c>
      <c r="F12" s="130" t="n">
        <v>755297.15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128209.03</v>
      </c>
      <c r="C13" s="73" t="n">
        <v>119243.42</v>
      </c>
      <c r="D13" s="145" t="n">
        <v>87193.5</v>
      </c>
      <c r="E13" s="145" t="n">
        <v>131200.66</v>
      </c>
      <c r="F13" s="130" t="n">
        <v>500059.87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168308.93</v>
      </c>
      <c r="C14" s="73" t="n">
        <v>193070.24</v>
      </c>
      <c r="D14" s="145" t="n">
        <v>114871.66</v>
      </c>
      <c r="E14" s="145" t="n">
        <v>172648.67</v>
      </c>
      <c r="F14" s="130" t="n">
        <v>662898.5699999999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146831.6</v>
      </c>
      <c r="C15" s="131" t="n">
        <v>145702.12</v>
      </c>
      <c r="D15" s="131" t="n">
        <v>119981.91</v>
      </c>
      <c r="E15" s="146" t="n">
        <v>131952.48</v>
      </c>
      <c r="F15" s="134" t="n">
        <v>554446.79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191035.01</v>
      </c>
      <c r="C5" s="255" t="n">
        <v>271223.01</v>
      </c>
      <c r="D5" s="197" t="n">
        <v>76505.17999999999</v>
      </c>
      <c r="E5" s="144" t="n">
        <v>268572.24</v>
      </c>
      <c r="F5" s="129" t="n">
        <v>1089848.16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679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46734.82</v>
      </c>
      <c r="Q5" s="128">
        <f>SUM(P5/E5)</f>
        <v/>
      </c>
      <c r="R5" s="259" t="n">
        <v>9338.07</v>
      </c>
      <c r="S5" s="128">
        <f>SUM(R5/E5)</f>
        <v/>
      </c>
      <c r="T5" s="286" t="n">
        <v>9293.379999999999</v>
      </c>
      <c r="U5" s="26" t="n"/>
    </row>
    <row r="6" ht="15.6" customHeight="1">
      <c r="A6" s="409" t="inlineStr">
        <is>
          <t>Melrose Arch</t>
        </is>
      </c>
      <c r="B6" s="145" t="n">
        <v>210378.92</v>
      </c>
      <c r="C6" s="73" t="n">
        <v>268311.86</v>
      </c>
      <c r="D6" s="145" t="n">
        <v>45573.7</v>
      </c>
      <c r="E6" s="145" t="n">
        <v>321979.3</v>
      </c>
      <c r="F6" s="130" t="n">
        <v>1039401.58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601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44251.85</v>
      </c>
      <c r="Q6" s="89">
        <f>SUM(P6/E6)</f>
        <v/>
      </c>
      <c r="R6" s="260" t="n">
        <v>31527.9</v>
      </c>
      <c r="S6" s="89">
        <f>SUM(R6/E6)</f>
        <v/>
      </c>
      <c r="T6" s="281" t="n">
        <v>9798.15</v>
      </c>
      <c r="U6" s="26" t="n"/>
    </row>
    <row r="7" ht="15.6" customHeight="1">
      <c r="A7" s="409" t="inlineStr">
        <is>
          <t>Melville</t>
        </is>
      </c>
      <c r="B7" s="145" t="n">
        <v>133572.35</v>
      </c>
      <c r="C7" s="73" t="n">
        <v>110389.7</v>
      </c>
      <c r="D7" s="145" t="n">
        <v>61668.56</v>
      </c>
      <c r="E7" s="145" t="n">
        <v>150343.1</v>
      </c>
      <c r="F7" s="130" t="n">
        <v>567372.21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512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48963.91</v>
      </c>
      <c r="Q7" s="89">
        <f>SUM(P7/E7)</f>
        <v/>
      </c>
      <c r="R7" s="260" t="n">
        <v>24361.76</v>
      </c>
      <c r="S7" s="89">
        <f>SUM(R7/E7)</f>
        <v/>
      </c>
      <c r="T7" s="281" t="n">
        <v>4520</v>
      </c>
      <c r="U7" s="26" t="n"/>
    </row>
    <row r="8" ht="15.6" customHeight="1">
      <c r="A8" s="409" t="inlineStr">
        <is>
          <t xml:space="preserve">Waterkloof </t>
        </is>
      </c>
      <c r="B8" s="145" t="n">
        <v>179262.21</v>
      </c>
      <c r="C8" s="73" t="n">
        <v>153229.93</v>
      </c>
      <c r="D8" s="145" t="n">
        <v>38908.65</v>
      </c>
      <c r="E8" s="145" t="n">
        <v>177308.39</v>
      </c>
      <c r="F8" s="130" t="n">
        <v>695106.88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433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35947.49</v>
      </c>
      <c r="Q8" s="89">
        <f>SUM(P8/E8)</f>
        <v/>
      </c>
      <c r="R8" s="260" t="n">
        <v>27557.07</v>
      </c>
      <c r="S8" s="89">
        <f>SUM(R8/E8)</f>
        <v/>
      </c>
      <c r="T8" s="281" t="n">
        <v>6165</v>
      </c>
      <c r="U8" s="26" t="n"/>
    </row>
    <row r="9" ht="15.6" customHeight="1">
      <c r="A9" s="409" t="inlineStr">
        <is>
          <t>Eagles Landing</t>
        </is>
      </c>
      <c r="B9" s="145" t="n">
        <v>216386.55</v>
      </c>
      <c r="C9" s="73" t="n">
        <v>385707.8</v>
      </c>
      <c r="D9" s="145" t="n">
        <v>87544.53</v>
      </c>
      <c r="E9" s="145" t="n">
        <v>244557.62</v>
      </c>
      <c r="F9" s="130" t="n">
        <v>998699.36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556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39440.15</v>
      </c>
      <c r="Q9" s="89">
        <f>SUM(P9/E9)</f>
        <v/>
      </c>
      <c r="R9" s="260" t="n">
        <v>31709.15</v>
      </c>
      <c r="S9" s="89">
        <f>SUM(R9/E9)</f>
        <v/>
      </c>
      <c r="T9" s="281" t="n">
        <v>10811.35</v>
      </c>
      <c r="U9" s="26" t="n"/>
    </row>
    <row r="10" ht="15.6" customHeight="1">
      <c r="A10" s="198" t="inlineStr">
        <is>
          <t>Stellenbosch</t>
        </is>
      </c>
      <c r="B10" s="145" t="n">
        <v>140792.72</v>
      </c>
      <c r="C10" s="73" t="n">
        <v>124310.04</v>
      </c>
      <c r="D10" s="145" t="n">
        <v>49395.18</v>
      </c>
      <c r="E10" s="145" t="n">
        <v>141566.34</v>
      </c>
      <c r="F10" s="130" t="n">
        <v>536226.72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439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13383.54</v>
      </c>
      <c r="Q10" s="89">
        <f>SUM(P10/E10)</f>
        <v/>
      </c>
      <c r="R10" s="260" t="n">
        <v>16870.75</v>
      </c>
      <c r="S10" s="89">
        <f>SUM(R10/E10)</f>
        <v/>
      </c>
      <c r="T10" s="281" t="n">
        <v>6360</v>
      </c>
      <c r="U10" s="26" t="n"/>
    </row>
    <row r="11" ht="15.6" customHeight="1">
      <c r="A11" s="198" t="inlineStr">
        <is>
          <t>Lynnwood</t>
        </is>
      </c>
      <c r="B11" s="145" t="n">
        <v>183536.57</v>
      </c>
      <c r="C11" s="73" t="n">
        <v>223653.62</v>
      </c>
      <c r="D11" s="145" t="n">
        <v>94163.55</v>
      </c>
      <c r="E11" s="145" t="n">
        <v>237796.93</v>
      </c>
      <c r="F11" s="130" t="n">
        <v>912662.28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592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38755.1</v>
      </c>
      <c r="Q11" s="89">
        <f>SUM(P11/E11)</f>
        <v/>
      </c>
      <c r="R11" s="260" t="n">
        <v>31304.57</v>
      </c>
      <c r="S11" s="89">
        <f>SUM(R11/E11)</f>
        <v/>
      </c>
      <c r="T11" s="281" t="n">
        <v>6226.5</v>
      </c>
      <c r="U11" s="26" t="n"/>
    </row>
    <row r="12" ht="15.6" customHeight="1">
      <c r="A12" s="198" t="inlineStr">
        <is>
          <t>Hartenbos</t>
        </is>
      </c>
      <c r="B12" s="145" t="n">
        <v>201252.54</v>
      </c>
      <c r="C12" s="73" t="n">
        <v>233344.84</v>
      </c>
      <c r="D12" s="145" t="n">
        <v>34859.87</v>
      </c>
      <c r="E12" s="145" t="n">
        <v>301643.55</v>
      </c>
      <c r="F12" s="130" t="n">
        <v>905840.42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599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>
        <v>23471</v>
      </c>
      <c r="Q12" s="89">
        <f>SUM(P12/E12)</f>
        <v/>
      </c>
      <c r="R12" s="260">
        <f>SUM(19931.5/1.15)</f>
        <v/>
      </c>
      <c r="S12" s="89">
        <f>SUM(R12/E12)</f>
        <v/>
      </c>
      <c r="T12" s="281" t="n">
        <v>2107.2</v>
      </c>
      <c r="U12" s="9" t="n"/>
    </row>
    <row r="13" ht="15.6" customHeight="1">
      <c r="A13" s="198" t="inlineStr">
        <is>
          <t>Kyalami Corner</t>
        </is>
      </c>
      <c r="B13" s="145" t="n">
        <v>131200.66</v>
      </c>
      <c r="C13" s="73" t="n">
        <v>126934.85</v>
      </c>
      <c r="D13" s="145" t="n">
        <v>58655.79</v>
      </c>
      <c r="E13" s="145" t="n">
        <v>190587.81</v>
      </c>
      <c r="F13" s="130" t="n">
        <v>622051.42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420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34304.91</v>
      </c>
      <c r="Q13" s="89">
        <f>SUM(P13/E13)</f>
        <v/>
      </c>
      <c r="R13" s="260" t="n">
        <v>18754.18</v>
      </c>
      <c r="S13" s="89">
        <f>SUM(R13/E13)</f>
        <v/>
      </c>
      <c r="T13" s="281" t="n">
        <v>5353.5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172648.67</v>
      </c>
      <c r="C14" s="73" t="n">
        <v>212563</v>
      </c>
      <c r="D14" s="145" t="n">
        <v>63036.16</v>
      </c>
      <c r="E14" s="145" t="n">
        <v>219752.94</v>
      </c>
      <c r="F14" s="130" t="n">
        <v>793744.12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575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35480.82</v>
      </c>
      <c r="Q14" s="89">
        <f>SUM(P14/E14)</f>
        <v/>
      </c>
      <c r="R14" s="260" t="n">
        <v>28476.99</v>
      </c>
      <c r="S14" s="89">
        <f>SUM(R14/E14)</f>
        <v/>
      </c>
      <c r="T14" s="281" t="n">
        <v>4152</v>
      </c>
      <c r="U14" s="9" t="n"/>
    </row>
    <row r="15" ht="16.2" customHeight="1" thickBot="1">
      <c r="A15" s="199" t="inlineStr">
        <is>
          <t>Queenswood</t>
        </is>
      </c>
      <c r="B15" s="146" t="n">
        <v>131952.48</v>
      </c>
      <c r="C15" s="131" t="n">
        <v>174527.22</v>
      </c>
      <c r="D15" s="131" t="n">
        <v>60926.38</v>
      </c>
      <c r="E15" s="146" t="n">
        <v>174446.42</v>
      </c>
      <c r="F15" s="134" t="n">
        <v>669559.87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493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22677.38</v>
      </c>
      <c r="Q15" s="116">
        <f>SUM(P15/E15)</f>
        <v/>
      </c>
      <c r="R15" s="261" t="n">
        <v>27168.38</v>
      </c>
      <c r="S15" s="116">
        <f>SUM(R15/E15)</f>
        <v/>
      </c>
      <c r="T15" s="283" t="n">
        <v>4850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baseColWidth="8" defaultRowHeight="14.4"/>
  <cols>
    <col width="23" customWidth="1" min="1" max="1"/>
    <col width="15.6640625" bestFit="1" customWidth="1" min="2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SUM(N5:N15)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>
        <f>SUM(T5:T15)</f>
        <v/>
      </c>
      <c r="U4" s="24" t="n"/>
    </row>
    <row r="5" ht="16.5" customHeight="1">
      <c r="A5" s="408" t="inlineStr">
        <is>
          <t>Irene Village</t>
        </is>
      </c>
      <c r="B5" s="144" t="n">
        <v>268572.24</v>
      </c>
      <c r="C5" s="255" t="n">
        <v>289905.35</v>
      </c>
      <c r="D5" s="197" t="n">
        <v>67895.53</v>
      </c>
      <c r="E5" s="144" t="n">
        <v>233049.25</v>
      </c>
      <c r="F5" s="129" t="n">
        <v>391707.4</v>
      </c>
      <c r="G5" s="287">
        <f>IFERROR((SUM(E5-C5)/C5),0)</f>
        <v/>
      </c>
      <c r="H5" s="154">
        <f>IFERROR((SUM(E5-D5)/D5),0)</f>
        <v/>
      </c>
      <c r="I5" s="266">
        <f>IFERROR((SUM(E5-B5)/B5),0)</f>
        <v/>
      </c>
      <c r="J5" s="285" t="n">
        <v>682</v>
      </c>
      <c r="K5" s="124">
        <f>IFERROR(E5/J5,0)</f>
        <v/>
      </c>
      <c r="L5" s="125" t="n">
        <v>4</v>
      </c>
      <c r="M5" s="126">
        <f>IFERROR(L5/J5,0)</f>
        <v/>
      </c>
      <c r="N5" s="127" t="n">
        <v>24</v>
      </c>
      <c r="O5" s="171">
        <f>IFERROR(N5/SUM(J5),0)</f>
        <v/>
      </c>
      <c r="P5" s="259" t="n">
        <v>36751.05</v>
      </c>
      <c r="Q5" s="128">
        <f>SUM(P5/E5)</f>
        <v/>
      </c>
      <c r="R5" s="259" t="n">
        <v>7146.08</v>
      </c>
      <c r="S5" s="128">
        <f>SUM(R5/E5)</f>
        <v/>
      </c>
      <c r="T5" s="286" t="n">
        <v>10880.5</v>
      </c>
      <c r="U5" s="26" t="n"/>
    </row>
    <row r="6" ht="15.6" customHeight="1">
      <c r="A6" s="409" t="inlineStr">
        <is>
          <t>Melrose Arch</t>
        </is>
      </c>
      <c r="B6" s="145" t="n">
        <v>321979.3</v>
      </c>
      <c r="C6" s="73" t="n">
        <v>262280.91</v>
      </c>
      <c r="D6" s="145" t="n">
        <v>12625.24</v>
      </c>
      <c r="E6" s="145" t="n">
        <v>252570.75</v>
      </c>
      <c r="F6" s="130" t="n">
        <v>429224.11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905</v>
      </c>
      <c r="K6" s="63">
        <f>IFERROR(E6/J6,0)</f>
        <v/>
      </c>
      <c r="L6" s="61" t="n">
        <v>1</v>
      </c>
      <c r="M6" s="28">
        <f>IFERROR(L6/J6,0)</f>
        <v/>
      </c>
      <c r="N6" s="46" t="n">
        <v>15</v>
      </c>
      <c r="O6" s="172">
        <f>IFERROR(N6/SUM(J6),0)</f>
        <v/>
      </c>
      <c r="P6" s="260" t="n">
        <v>40903.47</v>
      </c>
      <c r="Q6" s="89">
        <f>SUM(P6/E6)</f>
        <v/>
      </c>
      <c r="R6" s="260" t="n">
        <v>30267.79</v>
      </c>
      <c r="S6" s="89">
        <f>SUM(R6/E6)</f>
        <v/>
      </c>
      <c r="T6" s="281" t="n">
        <v>15266.18</v>
      </c>
      <c r="U6" s="26" t="n"/>
    </row>
    <row r="7" ht="15.6" customHeight="1">
      <c r="A7" s="409" t="inlineStr">
        <is>
          <t>Melville</t>
        </is>
      </c>
      <c r="B7" s="145" t="n">
        <v>150343.1</v>
      </c>
      <c r="C7" s="73" t="n">
        <v>99818.07000000001</v>
      </c>
      <c r="D7" s="145" t="n">
        <v>49051.79</v>
      </c>
      <c r="E7" s="145" t="n">
        <v>126008.3</v>
      </c>
      <c r="F7" s="130" t="n">
        <v>203264.51</v>
      </c>
      <c r="G7" s="288">
        <f>IFERROR((SUM(E7-C7)/C7),0)</f>
        <v/>
      </c>
      <c r="H7" s="155">
        <f>IFERROR((SUM(E7-D7)/D7),0)</f>
        <v/>
      </c>
      <c r="I7" s="263">
        <f>IFERROR((SUM(E7-B7)/B7),0)</f>
        <v/>
      </c>
      <c r="J7" s="273" t="n">
        <v>437</v>
      </c>
      <c r="K7" s="63">
        <f>IFERROR(E7/J7,0)</f>
        <v/>
      </c>
      <c r="L7" s="61" t="n">
        <v>3</v>
      </c>
      <c r="M7" s="28">
        <f>IFERROR(L7/J7,0)</f>
        <v/>
      </c>
      <c r="N7" s="46" t="n">
        <v>22</v>
      </c>
      <c r="O7" s="172">
        <f>IFERROR(N7/SUM(J7),0)</f>
        <v/>
      </c>
      <c r="P7" s="260" t="n">
        <v>39564.34</v>
      </c>
      <c r="Q7" s="89">
        <f>SUM(P7/E7)</f>
        <v/>
      </c>
      <c r="R7" s="260" t="n">
        <v>19292.17</v>
      </c>
      <c r="S7" s="89">
        <f>SUM(R7/E7)</f>
        <v/>
      </c>
      <c r="T7" s="281" t="n">
        <v>4306.5</v>
      </c>
      <c r="U7" s="26" t="n"/>
    </row>
    <row r="8" ht="15.6" customHeight="1">
      <c r="A8" s="409" t="inlineStr">
        <is>
          <t xml:space="preserve">Waterkloof </t>
        </is>
      </c>
      <c r="B8" s="145" t="n">
        <v>177308.39</v>
      </c>
      <c r="C8" s="73" t="n">
        <v>151033.79</v>
      </c>
      <c r="D8" s="145" t="n">
        <v>56369.37</v>
      </c>
      <c r="E8" s="145" t="n">
        <v>142436.23</v>
      </c>
      <c r="F8" s="130" t="n">
        <v>234526.74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489</v>
      </c>
      <c r="K8" s="63">
        <f>IFERROR(E8/J8,0)</f>
        <v/>
      </c>
      <c r="L8" s="61" t="n">
        <v>11</v>
      </c>
      <c r="M8" s="28">
        <f>IFERROR(L8/J8,0)</f>
        <v/>
      </c>
      <c r="N8" s="46" t="n">
        <v>41</v>
      </c>
      <c r="O8" s="172">
        <f>IFERROR(N8/SUM(J8),0)</f>
        <v/>
      </c>
      <c r="P8" s="260" t="n">
        <v>33804.34</v>
      </c>
      <c r="Q8" s="89">
        <f>SUM(P8/E8)</f>
        <v/>
      </c>
      <c r="R8" s="260" t="n">
        <v>24497</v>
      </c>
      <c r="S8" s="89">
        <f>SUM(R8/E8)</f>
        <v/>
      </c>
      <c r="T8" s="281" t="n">
        <v>5407.8</v>
      </c>
      <c r="U8" s="26" t="n"/>
    </row>
    <row r="9" ht="15.6" customHeight="1">
      <c r="A9" s="409" t="inlineStr">
        <is>
          <t>Eagles Landing</t>
        </is>
      </c>
      <c r="B9" s="145" t="n">
        <v>244557.62</v>
      </c>
      <c r="C9" s="73" t="n">
        <v>338755.04</v>
      </c>
      <c r="D9" s="145" t="n">
        <v>98911.55</v>
      </c>
      <c r="E9" s="145" t="n">
        <v>244802.01</v>
      </c>
      <c r="F9" s="130" t="n">
        <v>373480.71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745</v>
      </c>
      <c r="K9" s="63">
        <f>IFERROR(E9/J9,0)</f>
        <v/>
      </c>
      <c r="L9" s="61" t="n">
        <v>10</v>
      </c>
      <c r="M9" s="28">
        <f>IFERROR(L9/J9,0)</f>
        <v/>
      </c>
      <c r="N9" s="46" t="n">
        <v>42</v>
      </c>
      <c r="O9" s="172">
        <f>IFERROR(N9/SUM(J9),0)</f>
        <v/>
      </c>
      <c r="P9" s="260" t="n">
        <v>37333.91</v>
      </c>
      <c r="Q9" s="89">
        <f>SUM(P9/E9)</f>
        <v/>
      </c>
      <c r="R9" s="260" t="n">
        <v>25801.74</v>
      </c>
      <c r="S9" s="89">
        <f>SUM(R9/E9)</f>
        <v/>
      </c>
      <c r="T9" s="281" t="n">
        <v>10335.58</v>
      </c>
      <c r="U9" s="26" t="n"/>
    </row>
    <row r="10" ht="15.6" customHeight="1">
      <c r="A10" s="198" t="inlineStr">
        <is>
          <t>Stellenbosch</t>
        </is>
      </c>
      <c r="B10" s="145" t="n">
        <v>141566.34</v>
      </c>
      <c r="C10" s="73" t="n">
        <v>130753.32</v>
      </c>
      <c r="D10" s="145" t="n">
        <v>45614.88</v>
      </c>
      <c r="E10" s="145" t="n">
        <v>128388.49</v>
      </c>
      <c r="F10" s="130" t="n">
        <v>191587.99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448</v>
      </c>
      <c r="K10" s="63">
        <f>IFERROR(E10/J10,0)</f>
        <v/>
      </c>
      <c r="L10" s="61" t="n">
        <v>6</v>
      </c>
      <c r="M10" s="28">
        <f>IFERROR(L10/J10,0)</f>
        <v/>
      </c>
      <c r="N10" s="46" t="n">
        <v>27</v>
      </c>
      <c r="O10" s="172">
        <f>IFERROR(N10/SUM(J10),0)</f>
        <v/>
      </c>
      <c r="P10" s="260" t="n">
        <v>10769.56</v>
      </c>
      <c r="Q10" s="89">
        <f>SUM(P10/E10)</f>
        <v/>
      </c>
      <c r="R10" s="260" t="n">
        <v>17462.87</v>
      </c>
      <c r="S10" s="89">
        <f>SUM(R10/E10)</f>
        <v/>
      </c>
      <c r="T10" s="281" t="n">
        <v>9694.5</v>
      </c>
      <c r="U10" s="26" t="n"/>
    </row>
    <row r="11" ht="15.6" customHeight="1">
      <c r="A11" s="198" t="inlineStr">
        <is>
          <t>Lynnwood</t>
        </is>
      </c>
      <c r="B11" s="145" t="n">
        <v>237796.93</v>
      </c>
      <c r="C11" s="73" t="n">
        <v>216356.41</v>
      </c>
      <c r="D11" s="145" t="n">
        <v>84170.91</v>
      </c>
      <c r="E11" s="145" t="n">
        <v>189648.62</v>
      </c>
      <c r="F11" s="130" t="n">
        <v>298606.18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594</v>
      </c>
      <c r="K11" s="63">
        <f>IFERROR(E11/J11,0)</f>
        <v/>
      </c>
      <c r="L11" s="61" t="n">
        <v>15</v>
      </c>
      <c r="M11" s="28">
        <f>IFERROR(L11/J11,0)</f>
        <v/>
      </c>
      <c r="N11" s="46" t="n">
        <v>48</v>
      </c>
      <c r="O11" s="172">
        <f>IFERROR(N11/SUM(J11),0)</f>
        <v/>
      </c>
      <c r="P11" s="260" t="n">
        <v>29114.7</v>
      </c>
      <c r="Q11" s="89">
        <f>SUM(P11/E11)</f>
        <v/>
      </c>
      <c r="R11" s="260" t="n">
        <v>29889.6</v>
      </c>
      <c r="S11" s="89">
        <f>SUM(R11/E11)</f>
        <v/>
      </c>
      <c r="T11" s="281" t="n">
        <v>6971.03</v>
      </c>
      <c r="U11" s="26" t="n"/>
    </row>
    <row r="12" ht="15.6" customHeight="1">
      <c r="A12" s="198" t="inlineStr">
        <is>
          <t>Hartenbos</t>
        </is>
      </c>
      <c r="B12" s="145" t="n">
        <v>301643.55</v>
      </c>
      <c r="C12" s="73" t="n">
        <v>216202.84</v>
      </c>
      <c r="D12" s="145" t="n">
        <v>53639.31</v>
      </c>
      <c r="E12" s="145" t="n">
        <v>313858.58</v>
      </c>
      <c r="F12" s="130" t="n">
        <v>464958.86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911</v>
      </c>
      <c r="K12" s="63">
        <f>IFERROR(E12/J12,0)</f>
        <v/>
      </c>
      <c r="L12" s="61" t="n">
        <v>10</v>
      </c>
      <c r="M12" s="28">
        <f>IFERROR(L12/J12,0)</f>
        <v/>
      </c>
      <c r="N12" s="46" t="n">
        <v>42</v>
      </c>
      <c r="O12" s="172">
        <f>IFERROR(N12/SUM(J12),0)</f>
        <v/>
      </c>
      <c r="P12" s="260" t="n"/>
      <c r="Q12" s="89">
        <f>SUM(P12/E12)</f>
        <v/>
      </c>
      <c r="R12" s="260" t="n">
        <v>28207.39</v>
      </c>
      <c r="S12" s="89">
        <f>SUM(R12/E12)</f>
        <v/>
      </c>
      <c r="T12" s="281" t="n">
        <v>2178.62</v>
      </c>
      <c r="U12" s="9" t="n"/>
    </row>
    <row r="13" ht="15.6" customHeight="1">
      <c r="A13" s="198" t="inlineStr">
        <is>
          <t>Kyalami Corner</t>
        </is>
      </c>
      <c r="B13" s="145" t="n">
        <v>190587.81</v>
      </c>
      <c r="C13" s="73" t="n">
        <v>133866.99</v>
      </c>
      <c r="D13" s="145" t="n">
        <v>53928.76</v>
      </c>
      <c r="E13" s="145" t="n">
        <v>151762.27</v>
      </c>
      <c r="F13" s="130" t="n">
        <v>227873.08</v>
      </c>
      <c r="G13" s="288">
        <f>IFERROR((SUM(E13-C13)/C13),0)</f>
        <v/>
      </c>
      <c r="H13" s="155">
        <f>IFERROR((SUM(E13-D13)/D13),0)</f>
        <v/>
      </c>
      <c r="I13" s="263">
        <f>IFERROR((SUM(E13-B13)/B13),0)</f>
        <v/>
      </c>
      <c r="J13" s="273" t="n">
        <v>551</v>
      </c>
      <c r="K13" s="63">
        <f>IFERROR(E13/J13,0)</f>
        <v/>
      </c>
      <c r="L13" s="61" t="n">
        <v>11</v>
      </c>
      <c r="M13" s="28">
        <f>IFERROR(L13/J13,0)</f>
        <v/>
      </c>
      <c r="N13" s="46" t="n">
        <v>25</v>
      </c>
      <c r="O13" s="172">
        <f>IFERROR(N13/SUM(J13),0)</f>
        <v/>
      </c>
      <c r="P13" s="260" t="n">
        <v>30499.71</v>
      </c>
      <c r="Q13" s="89">
        <f>SUM(P13/E13)</f>
        <v/>
      </c>
      <c r="R13" s="260" t="n">
        <v>18594.78</v>
      </c>
      <c r="S13" s="89">
        <f>SUM(R13/E13)</f>
        <v/>
      </c>
      <c r="T13" s="281" t="n">
        <v>7358.5</v>
      </c>
      <c r="U13" s="9" t="n"/>
      <c r="X13" s="238" t="n"/>
    </row>
    <row r="14" ht="15.6" customHeight="1">
      <c r="A14" s="198" t="inlineStr">
        <is>
          <t>Cambridge Crossing</t>
        </is>
      </c>
      <c r="B14" s="145" t="n">
        <v>219752.94</v>
      </c>
      <c r="C14" s="73" t="n">
        <v>204115.87</v>
      </c>
      <c r="D14" s="145" t="n">
        <v>67366.8</v>
      </c>
      <c r="E14" s="145" t="n">
        <v>168612.7</v>
      </c>
      <c r="F14" s="130" t="n">
        <v>288104.54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705</v>
      </c>
      <c r="K14" s="63">
        <f>IFERROR(E14/J14,0)</f>
        <v/>
      </c>
      <c r="L14" s="61" t="n">
        <v>7</v>
      </c>
      <c r="M14" s="28">
        <f>IFERROR(L14/J14,0)</f>
        <v/>
      </c>
      <c r="N14" s="46" t="n">
        <v>17</v>
      </c>
      <c r="O14" s="172">
        <f>IFERROR(N14/SUM(J14),0)</f>
        <v/>
      </c>
      <c r="P14" s="260" t="n">
        <v>32956.52</v>
      </c>
      <c r="Q14" s="89">
        <f>SUM(P14/E14)</f>
        <v/>
      </c>
      <c r="R14" s="260" t="n">
        <v>27581.37</v>
      </c>
      <c r="S14" s="89">
        <f>SUM(R14/E14)</f>
        <v/>
      </c>
      <c r="T14" s="281" t="n">
        <v>6495</v>
      </c>
      <c r="U14" s="9" t="n"/>
    </row>
    <row r="15" ht="16.2" customHeight="1" thickBot="1">
      <c r="A15" s="199" t="inlineStr">
        <is>
          <t>Queenswood</t>
        </is>
      </c>
      <c r="B15" s="146" t="n">
        <v>174446.42</v>
      </c>
      <c r="C15" s="131" t="n">
        <v>171677.33</v>
      </c>
      <c r="D15" s="131" t="n">
        <v>59032.42</v>
      </c>
      <c r="E15" s="146" t="n">
        <v>132954.17</v>
      </c>
      <c r="F15" s="134" t="n">
        <v>217657.33</v>
      </c>
      <c r="G15" s="289">
        <f>IFERROR((SUM(E15-C15)/C15),0)</f>
        <v/>
      </c>
      <c r="H15" s="156">
        <f>IFERROR((SUM(E15-D15)/D15),0)</f>
        <v/>
      </c>
      <c r="I15" s="264">
        <f>IFERROR((SUM(E15-B15)/B15),0)</f>
        <v/>
      </c>
      <c r="J15" s="282" t="n">
        <v>511</v>
      </c>
      <c r="K15" s="132">
        <f>IFERROR(E15/J15,0)</f>
        <v/>
      </c>
      <c r="L15" s="133" t="n">
        <v>13</v>
      </c>
      <c r="M15" s="114">
        <f>IFERROR(L15/J15,0)</f>
        <v/>
      </c>
      <c r="N15" s="115" t="n">
        <v>37</v>
      </c>
      <c r="O15" s="173">
        <f>IFERROR(N15/SUM(J15),0)</f>
        <v/>
      </c>
      <c r="P15" s="261" t="n">
        <v>14475.65</v>
      </c>
      <c r="Q15" s="116">
        <f>SUM(P15/E15)</f>
        <v/>
      </c>
      <c r="R15" s="261" t="n">
        <v>23542.6</v>
      </c>
      <c r="S15" s="116">
        <f>SUM(R15/E15)</f>
        <v/>
      </c>
      <c r="T15" s="283" t="n">
        <v>6173</v>
      </c>
      <c r="U15" s="9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15">
    <cfRule type="cellIs" priority="1" operator="equal" dxfId="0">
      <formula>0</formula>
    </cfRule>
  </conditionalFormatting>
  <conditionalFormatting sqref="D6:D15">
    <cfRule type="cellIs" priority="5" operator="equal" dxfId="0">
      <formula>0</formula>
    </cfRule>
  </conditionalFormatting>
  <conditionalFormatting sqref="E13:E15">
    <cfRule type="cellIs" priority="10" operator="equal" dxfId="0">
      <formula>0</formula>
    </cfRule>
  </conditionalFormatting>
  <conditionalFormatting sqref="E5:T15">
    <cfRule type="cellIs" priority="6" operator="equal" dxfId="0">
      <formula>0</formula>
    </cfRule>
  </conditionalFormatting>
  <conditionalFormatting sqref="T13:T15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313858.58</v>
      </c>
      <c r="C5" s="73" t="n">
        <v>151349.99</v>
      </c>
      <c r="D5" s="145" t="n">
        <v>108441.6</v>
      </c>
      <c r="E5" s="145" t="n">
        <v>308387.34</v>
      </c>
      <c r="F5" s="130" t="n">
        <v>773346.2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911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25412.60869565218</v>
      </c>
      <c r="S5" s="89">
        <f>SUM(R5/E5)</f>
        <v/>
      </c>
      <c r="T5" s="281" t="n">
        <v>2835.85</v>
      </c>
      <c r="U5" s="9" t="n"/>
    </row>
    <row r="6" ht="16.2" customHeight="1" thickBot="1">
      <c r="A6" s="409" t="inlineStr">
        <is>
          <t>Eagles Landing</t>
        </is>
      </c>
      <c r="B6" s="145" t="n">
        <v>244802.01</v>
      </c>
      <c r="C6" s="73" t="n">
        <v>312926.61</v>
      </c>
      <c r="D6" s="145" t="n">
        <v>123729.06</v>
      </c>
      <c r="E6" s="145" t="n">
        <v>218341.36</v>
      </c>
      <c r="F6" s="130" t="n">
        <v>591822.0699999999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30480.86956521739</v>
      </c>
      <c r="Q6" s="89">
        <f>SUM(P6/E6)</f>
        <v/>
      </c>
      <c r="R6" s="260" t="n">
        <v>27716.07826086957</v>
      </c>
      <c r="S6" s="89">
        <f>SUM(R6/E6)</f>
        <v/>
      </c>
      <c r="T6" s="281" t="n">
        <v>8462.299999999999</v>
      </c>
      <c r="U6" s="26" t="n"/>
    </row>
    <row r="7" ht="16.5" customHeight="1">
      <c r="A7" s="408" t="inlineStr">
        <is>
          <t>Irene Village</t>
        </is>
      </c>
      <c r="B7" s="144" t="n">
        <v>233049.25</v>
      </c>
      <c r="C7" s="255" t="n">
        <v>246778.34</v>
      </c>
      <c r="D7" s="197" t="n">
        <v>104954.75</v>
      </c>
      <c r="E7" s="144" t="n">
        <v>229431.22</v>
      </c>
      <c r="F7" s="129" t="n">
        <v>727558.79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682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39742.91304347826</v>
      </c>
      <c r="Q7" s="128">
        <f>SUM(P7/E7)</f>
        <v/>
      </c>
      <c r="R7" s="259" t="n">
        <v>6163.88695652174</v>
      </c>
      <c r="S7" s="128">
        <f>SUM(R7/E7)</f>
        <v/>
      </c>
      <c r="T7" s="286" t="n">
        <v>9809</v>
      </c>
      <c r="U7" s="26" t="n"/>
    </row>
    <row r="8" ht="15.6" customHeight="1">
      <c r="A8" s="198" t="inlineStr">
        <is>
          <t>Kyalami Corner</t>
        </is>
      </c>
      <c r="B8" s="145" t="n">
        <v>151762.27</v>
      </c>
      <c r="C8" s="73" t="n">
        <v>115444.65</v>
      </c>
      <c r="D8" s="145" t="n">
        <v>58555.53</v>
      </c>
      <c r="E8" s="145" t="n">
        <v>145598.56</v>
      </c>
      <c r="F8" s="130" t="n">
        <v>392105.85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551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28818.22608695652</v>
      </c>
      <c r="Q8" s="89">
        <f>SUM(P8/E8)</f>
        <v/>
      </c>
      <c r="R8" s="260" t="n">
        <v>19681.31304347826</v>
      </c>
      <c r="S8" s="89">
        <f>SUM(R8/E8)</f>
        <v/>
      </c>
      <c r="T8" s="281" t="n">
        <v>4665.25</v>
      </c>
      <c r="U8" s="9" t="n"/>
    </row>
    <row r="9" ht="15.6" customHeight="1">
      <c r="A9" s="198" t="inlineStr">
        <is>
          <t>Lynnwood</t>
        </is>
      </c>
      <c r="B9" s="145" t="n">
        <v>189648.62</v>
      </c>
      <c r="C9" s="73" t="n">
        <v>187064.58</v>
      </c>
      <c r="D9" s="145" t="n">
        <v>117167.6</v>
      </c>
      <c r="E9" s="145" t="n">
        <v>214919.99</v>
      </c>
      <c r="F9" s="130" t="n">
        <v>536473.92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594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38400.25217391305</v>
      </c>
      <c r="Q9" s="89">
        <f>SUM(P9/E9)</f>
        <v/>
      </c>
      <c r="R9" s="260" t="n">
        <v>17660.37391304348</v>
      </c>
      <c r="S9" s="89">
        <f>SUM(R9/E9)</f>
        <v/>
      </c>
      <c r="T9" s="281" t="n">
        <v>8663.75</v>
      </c>
      <c r="U9" s="26" t="n"/>
    </row>
    <row r="10" ht="15.6" customHeight="1">
      <c r="A10" s="409" t="inlineStr">
        <is>
          <t>Melrose Arch</t>
        </is>
      </c>
      <c r="B10" s="145" t="n">
        <v>252570.75</v>
      </c>
      <c r="C10" s="73" t="n">
        <v>191381.89</v>
      </c>
      <c r="D10" s="145" t="n">
        <v>50825.27</v>
      </c>
      <c r="E10" s="145" t="n">
        <v>270660.22</v>
      </c>
      <c r="F10" s="130" t="n">
        <v>735124.0699999999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905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35235.34782608696</v>
      </c>
      <c r="Q10" s="89">
        <f>SUM(P10/E10)</f>
        <v/>
      </c>
      <c r="R10" s="260" t="n">
        <v>23421.14782608696</v>
      </c>
      <c r="S10" s="89">
        <f>SUM(R10/E10)</f>
        <v/>
      </c>
      <c r="T10" s="281" t="n">
        <v>9958.85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inlineStr">
        <is>
          <t>97633..12</t>
        </is>
      </c>
      <c r="D11" s="145" t="n">
        <v>60937.2</v>
      </c>
      <c r="E11" s="145" t="n">
        <v>132052.69</v>
      </c>
      <c r="F11" s="130" t="n">
        <v>335317.2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437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46168.82608695653</v>
      </c>
      <c r="Q11" s="89">
        <f>SUM(P11/E11)</f>
        <v/>
      </c>
      <c r="R11" s="260" t="n">
        <v>18350.81739130435</v>
      </c>
      <c r="S11" s="89">
        <f>SUM(R11/E11)</f>
        <v/>
      </c>
      <c r="T11" s="281" t="n">
        <v>3777.8</v>
      </c>
      <c r="U11" s="26" t="n"/>
    </row>
    <row r="12" ht="15.6" customHeight="1">
      <c r="A12" s="198" t="inlineStr">
        <is>
          <t>Cambridge Crossing</t>
        </is>
      </c>
      <c r="B12" s="145" t="n">
        <v>168612.7</v>
      </c>
      <c r="C12" s="73" t="n">
        <v>188856.74</v>
      </c>
      <c r="D12" s="145" t="n">
        <v>67441.92</v>
      </c>
      <c r="E12" s="145" t="n">
        <v>192667.35</v>
      </c>
      <c r="F12" s="130" t="n">
        <v>507352.97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28482.66956521739</v>
      </c>
      <c r="Q12" s="89">
        <f>SUM(P12/E12)</f>
        <v/>
      </c>
      <c r="R12" s="260" t="n">
        <v>23942.37391304348</v>
      </c>
      <c r="S12" s="89">
        <f>SUM(R12/E12)</f>
        <v/>
      </c>
      <c r="T12" s="281" t="n">
        <v>5658</v>
      </c>
      <c r="U12" s="9" t="n"/>
    </row>
    <row r="13" ht="16.2" customHeight="1" thickBot="1">
      <c r="A13" s="199" t="inlineStr">
        <is>
          <t>Queenswood</t>
        </is>
      </c>
      <c r="B13" s="146" t="n">
        <v>132954.17</v>
      </c>
      <c r="C13" s="131" t="n">
        <v>160386.38</v>
      </c>
      <c r="D13" s="131" t="n">
        <v>75582.53999999999</v>
      </c>
      <c r="E13" s="146" t="n">
        <v>155494.3</v>
      </c>
      <c r="F13" s="134" t="n">
        <v>398064.26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511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17365.30434782609</v>
      </c>
      <c r="Q13" s="116">
        <f>SUM(P13/E13)</f>
        <v/>
      </c>
      <c r="R13" s="261" t="n">
        <v>29469.69565217392</v>
      </c>
      <c r="S13" s="116">
        <f>SUM(R13/E13)</f>
        <v/>
      </c>
      <c r="T13" s="283" t="n">
        <v>5486.25</v>
      </c>
      <c r="U13" s="9" t="n"/>
    </row>
    <row r="14" ht="15.6" customHeight="1">
      <c r="A14" s="409" t="inlineStr">
        <is>
          <t xml:space="preserve">Waterkloof </t>
        </is>
      </c>
      <c r="B14" s="145" t="n">
        <v>142436.23</v>
      </c>
      <c r="C14" s="73" t="n">
        <v>142718.31</v>
      </c>
      <c r="D14" s="145" t="n">
        <v>73055.39999999999</v>
      </c>
      <c r="E14" s="145" t="n">
        <v>140253.71</v>
      </c>
      <c r="F14" s="130" t="n">
        <v>394187.52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489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42830.28695652174</v>
      </c>
      <c r="Q14" s="89">
        <f>SUM(P14/E14)</f>
        <v/>
      </c>
      <c r="R14" s="260" t="n">
        <v>18332.37391304348</v>
      </c>
      <c r="S14" s="89">
        <f>SUM(R14/E14)</f>
        <v/>
      </c>
      <c r="T14" s="281" t="n">
        <v>4018.5</v>
      </c>
      <c r="U14" s="26" t="n"/>
    </row>
    <row r="15" ht="15.6" customHeight="1">
      <c r="A15" s="198" t="inlineStr">
        <is>
          <t>Stellenbosch</t>
        </is>
      </c>
      <c r="B15" s="145" t="n">
        <v>128388.49</v>
      </c>
      <c r="C15" s="73" t="n">
        <v>130704.49</v>
      </c>
      <c r="D15" s="145" t="n">
        <v>59060.2</v>
      </c>
      <c r="E15" s="145" t="n">
        <v>129577.45</v>
      </c>
      <c r="F15" s="130" t="n">
        <v>321165.44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448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16498.89565217391</v>
      </c>
      <c r="Q15" s="89">
        <f>SUM(P15/E15)</f>
        <v/>
      </c>
      <c r="R15" s="260" t="n">
        <v>24682.22608695653</v>
      </c>
      <c r="S15" s="89">
        <f>SUM(R15/E15)</f>
        <v/>
      </c>
      <c r="T15" s="281" t="n">
        <v>7531.68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7 B8:T9 B9:C15 D10:D14 D15:T15 E5:T14">
    <cfRule type="cellIs" priority="15" operator="equal" dxfId="0">
      <formula>0</formula>
    </cfRule>
  </conditionalFormatting>
  <conditionalFormatting sqref="B12:P13">
    <cfRule type="cellIs" priority="10" operator="equal" dxfId="0">
      <formula>0</formula>
    </cfRule>
  </conditionalFormatting>
  <conditionalFormatting sqref="D5:D6">
    <cfRule type="cellIs" priority="9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baseColWidth="8" defaultRowHeight="14.4"/>
  <cols>
    <col width="23" customWidth="1" min="1" max="1"/>
    <col width="19" customWidth="1" min="2" max="2"/>
    <col width="15.6640625" bestFit="1" customWidth="1" min="3" max="3"/>
    <col width="16.33203125" customWidth="1" min="4" max="4"/>
    <col width="16.44140625" customWidth="1" min="5" max="5"/>
    <col width="16.66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4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SUM(B7:B15)</f>
        <v/>
      </c>
      <c r="C4" s="135">
        <f>SUM(C7:C15)</f>
        <v/>
      </c>
      <c r="D4" s="135">
        <f>SUM(D7:D15)</f>
        <v/>
      </c>
      <c r="E4" s="135">
        <f>SUM(E7:E15)</f>
        <v/>
      </c>
      <c r="F4" s="135">
        <f>SUM(F7:F15)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SUM(J7:J15)</f>
        <v/>
      </c>
      <c r="K4" s="218">
        <f>AVERAGE(K7:K15)</f>
        <v/>
      </c>
      <c r="L4" s="219">
        <f>SUM(L7:L15)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SUM(P7:P15)</f>
        <v/>
      </c>
      <c r="Q4" s="222">
        <f>SUM(P4/E4)</f>
        <v/>
      </c>
      <c r="R4" s="244">
        <f>SUM(R7:R15)</f>
        <v/>
      </c>
      <c r="S4" s="222">
        <f>SUM(R4/E4)</f>
        <v/>
      </c>
      <c r="T4" s="257">
        <f>SUM(T7:T15)</f>
        <v/>
      </c>
      <c r="U4" s="24" t="n"/>
    </row>
    <row r="5" ht="15.6" customHeight="1">
      <c r="A5" s="198" t="inlineStr">
        <is>
          <t>Hartenbos</t>
        </is>
      </c>
      <c r="B5" s="145" t="n">
        <v>308387.34</v>
      </c>
      <c r="C5" s="73" t="n">
        <v>129536.18</v>
      </c>
      <c r="D5" s="145" t="n">
        <v>87330.55</v>
      </c>
      <c r="E5" s="145" t="n">
        <v>233558.86</v>
      </c>
      <c r="F5" s="130" t="n">
        <v>1006905.06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22518.69565217392</v>
      </c>
      <c r="Q5" s="89">
        <f>SUM(P5/E5)</f>
        <v/>
      </c>
      <c r="R5" s="260" t="n">
        <v>0</v>
      </c>
      <c r="S5" s="89">
        <f>SUM(R5/E5)</f>
        <v/>
      </c>
      <c r="T5" s="281" t="n">
        <v>2097</v>
      </c>
      <c r="U5" s="9" t="n"/>
    </row>
    <row r="6" ht="16.2" customHeight="1" thickBot="1">
      <c r="A6" s="409" t="inlineStr">
        <is>
          <t>Eagles Landing</t>
        </is>
      </c>
      <c r="B6" s="145" t="n">
        <v>218341.36</v>
      </c>
      <c r="C6" s="73" t="n">
        <v>353967.18</v>
      </c>
      <c r="D6" s="145" t="n">
        <v>144846.87</v>
      </c>
      <c r="E6" s="145" t="n">
        <v>240257.2</v>
      </c>
      <c r="F6" s="130" t="n">
        <v>832079.27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757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47790.51304347826</v>
      </c>
      <c r="Q6" s="89">
        <f>SUM(P6/E6)</f>
        <v/>
      </c>
      <c r="R6" s="260" t="n">
        <v>21192.22608695653</v>
      </c>
      <c r="S6" s="89">
        <f>SUM(R6/E6)</f>
        <v/>
      </c>
      <c r="T6" s="281" t="n">
        <v>9736.15</v>
      </c>
      <c r="U6" s="26" t="n"/>
    </row>
    <row r="7" ht="16.5" customHeight="1">
      <c r="A7" s="408" t="inlineStr">
        <is>
          <t>Irene Village</t>
        </is>
      </c>
      <c r="B7" s="144" t="n">
        <v>229431.22</v>
      </c>
      <c r="C7" s="255" t="n">
        <v>271945.84</v>
      </c>
      <c r="D7" s="197" t="n">
        <v>120487.58</v>
      </c>
      <c r="E7" s="144" t="n">
        <v>262360.31</v>
      </c>
      <c r="F7" s="129" t="n">
        <v>989919.1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758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43398.78260869566</v>
      </c>
      <c r="Q7" s="128">
        <f>SUM(P7/E7)</f>
        <v/>
      </c>
      <c r="R7" s="259" t="n">
        <v>5389.121739130435</v>
      </c>
      <c r="S7" s="128">
        <f>SUM(R7/E7)</f>
        <v/>
      </c>
      <c r="T7" s="286" t="n">
        <v>10599.8</v>
      </c>
      <c r="U7" s="26" t="n"/>
    </row>
    <row r="8" ht="15.6" customHeight="1">
      <c r="A8" s="198" t="inlineStr">
        <is>
          <t>Kyalami Corner</t>
        </is>
      </c>
      <c r="B8" s="145" t="n">
        <v>145598.56</v>
      </c>
      <c r="C8" s="73" t="n">
        <v>113373.11</v>
      </c>
      <c r="D8" s="145" t="n">
        <v>76572.35000000001</v>
      </c>
      <c r="E8" s="145" t="n">
        <v>151370.58</v>
      </c>
      <c r="F8" s="130" t="n">
        <v>543476.4300000001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33025.08695652174</v>
      </c>
      <c r="Q8" s="89">
        <f>SUM(P8/E8)</f>
        <v/>
      </c>
      <c r="R8" s="260" t="n">
        <v>16151.4347826087</v>
      </c>
      <c r="S8" s="89">
        <f>SUM(R8/E8)</f>
        <v/>
      </c>
      <c r="T8" s="281" t="n">
        <v>8117.5</v>
      </c>
      <c r="U8" s="9" t="n"/>
    </row>
    <row r="9" ht="15.6" customHeight="1">
      <c r="A9" s="198" t="inlineStr">
        <is>
          <t>Lynnwood</t>
        </is>
      </c>
      <c r="B9" s="145" t="n">
        <v>214919.99</v>
      </c>
      <c r="C9" s="73" t="n">
        <v>212060.52</v>
      </c>
      <c r="D9" s="145" t="n">
        <v>130900.28</v>
      </c>
      <c r="E9" s="145" t="n">
        <v>193389.34</v>
      </c>
      <c r="F9" s="130" t="n">
        <v>729863.26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672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35006.00869565218</v>
      </c>
      <c r="Q9" s="89">
        <f>SUM(P9/E9)</f>
        <v/>
      </c>
      <c r="R9" s="260" t="n">
        <v>24850.60869565218</v>
      </c>
      <c r="S9" s="89">
        <f>SUM(R9/E9)</f>
        <v/>
      </c>
      <c r="T9" s="281" t="n">
        <v>5374</v>
      </c>
      <c r="U9" s="26" t="n"/>
    </row>
    <row r="10" ht="15.6" customHeight="1">
      <c r="A10" s="409" t="inlineStr">
        <is>
          <t>Melrose Arch</t>
        </is>
      </c>
      <c r="B10" s="145" t="n">
        <v>270660.22</v>
      </c>
      <c r="C10" s="73" t="n">
        <v>260258.72</v>
      </c>
      <c r="D10" s="145" t="n">
        <v>65479.86</v>
      </c>
      <c r="E10" s="145" t="n">
        <v>288431.05</v>
      </c>
      <c r="F10" s="130" t="n">
        <v>1023555.12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49932.29565217392</v>
      </c>
      <c r="Q10" s="89">
        <f>SUM(P10/E10)</f>
        <v/>
      </c>
      <c r="R10" s="260" t="n">
        <v>36659.30434782609</v>
      </c>
      <c r="S10" s="89">
        <f>SUM(R10/E10)</f>
        <v/>
      </c>
      <c r="T10" s="281" t="n">
        <v>11566.5</v>
      </c>
      <c r="U10" s="26" t="n"/>
    </row>
    <row r="11" ht="15.6" customHeight="1">
      <c r="A11" s="409" t="inlineStr">
        <is>
          <t>Melville</t>
        </is>
      </c>
      <c r="B11" s="145" t="n">
        <v>126008.3</v>
      </c>
      <c r="C11" s="295" t="n">
        <v>125957.48</v>
      </c>
      <c r="D11" s="145" t="n">
        <v>69384.67999999999</v>
      </c>
      <c r="E11" s="145" t="n">
        <v>0</v>
      </c>
      <c r="F11" s="130" t="n">
        <v>360924.92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/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0</v>
      </c>
      <c r="Q11" s="89">
        <f>SUM(P11/E11)</f>
        <v/>
      </c>
      <c r="R11" s="260" t="n">
        <v>0</v>
      </c>
      <c r="S11" s="89">
        <f>SUM(R11/E11)</f>
        <v/>
      </c>
      <c r="T11" s="281" t="n"/>
      <c r="U11" s="26" t="n"/>
    </row>
    <row r="12" ht="15.6" customHeight="1">
      <c r="A12" s="198" t="inlineStr">
        <is>
          <t>Cambridge Crossing</t>
        </is>
      </c>
      <c r="B12" s="145" t="n">
        <v>192667.35</v>
      </c>
      <c r="C12" s="73" t="n">
        <v>198530.03</v>
      </c>
      <c r="D12" s="145" t="n">
        <v>77712.2</v>
      </c>
      <c r="E12" s="145" t="n">
        <v>171116.79</v>
      </c>
      <c r="F12" s="130" t="n">
        <v>678469.76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654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30911.49565217392</v>
      </c>
      <c r="Q12" s="89">
        <f>SUM(P12/E12)</f>
        <v/>
      </c>
      <c r="R12" s="260" t="n">
        <v>24039.58260869565</v>
      </c>
      <c r="S12" s="89">
        <f>SUM(R12/E12)</f>
        <v/>
      </c>
      <c r="T12" s="281" t="n">
        <v>8457</v>
      </c>
      <c r="U12" s="9" t="n"/>
    </row>
    <row r="13" ht="16.2" customHeight="1" thickBot="1">
      <c r="A13" s="199" t="inlineStr">
        <is>
          <t>Queenswood</t>
        </is>
      </c>
      <c r="B13" s="146" t="n">
        <v>155494.3</v>
      </c>
      <c r="C13" s="131" t="n">
        <v>162511.62</v>
      </c>
      <c r="D13" s="131" t="n">
        <v>92850.36</v>
      </c>
      <c r="E13" s="146" t="n">
        <v>155532.37</v>
      </c>
      <c r="F13" s="134" t="n">
        <v>553596.63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538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20485.89565217391</v>
      </c>
      <c r="Q13" s="116">
        <f>SUM(P13/E13)</f>
        <v/>
      </c>
      <c r="R13" s="261" t="n">
        <v>25089.22608695653</v>
      </c>
      <c r="S13" s="116">
        <f>SUM(R13/E13)</f>
        <v/>
      </c>
      <c r="T13" s="283" t="n">
        <v>3988.5</v>
      </c>
      <c r="U13" s="9" t="n"/>
    </row>
    <row r="14" ht="15.6" customHeight="1">
      <c r="A14" s="409" t="inlineStr">
        <is>
          <t xml:space="preserve">Waterkloof </t>
        </is>
      </c>
      <c r="B14" s="145" t="n">
        <v>140253.71</v>
      </c>
      <c r="C14" s="73" t="n">
        <v>164093.67</v>
      </c>
      <c r="D14" s="145" t="n">
        <v>82429.22</v>
      </c>
      <c r="E14" s="145" t="n">
        <v>157170.6</v>
      </c>
      <c r="F14" s="130" t="n">
        <v>551358.12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494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37400.21739130435</v>
      </c>
      <c r="Q14" s="89">
        <f>SUM(P14/E14)</f>
        <v/>
      </c>
      <c r="R14" s="260" t="n">
        <v>22645.35652173913</v>
      </c>
      <c r="S14" s="89">
        <f>SUM(R14/E14)</f>
        <v/>
      </c>
      <c r="T14" s="281" t="n">
        <v>5596.2</v>
      </c>
      <c r="U14" s="26" t="n"/>
    </row>
    <row r="15" ht="15.6" customHeight="1">
      <c r="A15" s="198" t="inlineStr">
        <is>
          <t>Stellenbosch</t>
        </is>
      </c>
      <c r="B15" s="145" t="n">
        <v>129577.45</v>
      </c>
      <c r="C15" s="73" t="n">
        <v>130324.87</v>
      </c>
      <c r="D15" s="145" t="n">
        <v>71162.13</v>
      </c>
      <c r="E15" s="145" t="n">
        <v>111700.34</v>
      </c>
      <c r="F15" s="130" t="n">
        <v>432865.78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392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10870.86086956522</v>
      </c>
      <c r="Q15" s="89">
        <f>SUM(P15/E15)</f>
        <v/>
      </c>
      <c r="R15" s="260" t="n">
        <v>17640.46086956522</v>
      </c>
      <c r="S15" s="89">
        <f>SUM(R15/E15)</f>
        <v/>
      </c>
      <c r="T15" s="281" t="n">
        <v>7514.5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5" operator="equal" dxfId="0">
      <formula>0</formula>
    </cfRule>
  </conditionalFormatting>
  <conditionalFormatting sqref="D5:D6">
    <cfRule type="cellIs" priority="2" operator="equal" dxfId="0">
      <formula>0</formula>
    </cfRule>
  </conditionalFormatting>
  <conditionalFormatting sqref="P12:P13">
    <cfRule type="cellIs" priority="3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233558.86</v>
      </c>
      <c r="C5" s="73" t="n">
        <v>138311.25</v>
      </c>
      <c r="D5" s="145" t="n">
        <v>116789.49</v>
      </c>
      <c r="E5" s="145" t="n">
        <v>190506.85</v>
      </c>
      <c r="F5" s="130" t="n">
        <v>1197411.91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629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20345.5</v>
      </c>
      <c r="Q5" s="89">
        <f>SUM(P5/E5)</f>
        <v/>
      </c>
      <c r="R5" s="260" t="n">
        <v>0</v>
      </c>
      <c r="S5" s="89">
        <f>SUM(R5/E5)</f>
        <v/>
      </c>
      <c r="T5" s="281" t="n">
        <v>1822</v>
      </c>
      <c r="U5" s="9" t="n"/>
    </row>
    <row r="6" ht="16.2" customHeight="1" thickBot="1">
      <c r="A6" s="409" t="inlineStr">
        <is>
          <t>Eagles Landing</t>
        </is>
      </c>
      <c r="B6" s="145" t="n">
        <v>240257.2</v>
      </c>
      <c r="C6" s="73" t="n">
        <v>363089.6</v>
      </c>
      <c r="D6" s="145" t="n">
        <v>238834.43</v>
      </c>
      <c r="E6" s="145" t="n">
        <v>253992.78</v>
      </c>
      <c r="F6" s="130" t="n">
        <v>1086072.05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805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55445.17</v>
      </c>
      <c r="Q6" s="89">
        <f>SUM(P6/E6)</f>
        <v/>
      </c>
      <c r="R6" s="260" t="n">
        <v>26063.8</v>
      </c>
      <c r="S6" s="89">
        <f>SUM(R6/E6)</f>
        <v/>
      </c>
      <c r="T6" s="281" t="n">
        <v>11768.75</v>
      </c>
      <c r="U6" s="26" t="n"/>
    </row>
    <row r="7" ht="16.5" customHeight="1">
      <c r="A7" s="408" t="inlineStr">
        <is>
          <t>Irene Village</t>
        </is>
      </c>
      <c r="B7" s="144" t="n">
        <v>262360.31</v>
      </c>
      <c r="C7" s="255" t="n">
        <v>261957.32</v>
      </c>
      <c r="D7" s="197" t="n">
        <v>176130.36</v>
      </c>
      <c r="E7" s="144" t="n">
        <v>240166.92</v>
      </c>
      <c r="F7" s="129" t="n">
        <v>1230086.02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767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36655.35</v>
      </c>
      <c r="Q7" s="128">
        <f>SUM(P7/E7)</f>
        <v/>
      </c>
      <c r="R7" s="259" t="n">
        <v>10761.81</v>
      </c>
      <c r="S7" s="128">
        <f>SUM(R7/E7)</f>
        <v/>
      </c>
      <c r="T7" s="286" t="n">
        <v>38732</v>
      </c>
      <c r="U7" s="26" t="n"/>
    </row>
    <row r="8" ht="15.6" customHeight="1">
      <c r="A8" s="198" t="inlineStr">
        <is>
          <t>Kyalami Corner</t>
        </is>
      </c>
      <c r="B8" s="145" t="n">
        <v>151370.58</v>
      </c>
      <c r="C8" s="73" t="n">
        <v>126564.93</v>
      </c>
      <c r="D8" s="145" t="n">
        <v>118177.43</v>
      </c>
      <c r="E8" s="145" t="n">
        <v>166955.5</v>
      </c>
      <c r="F8" s="130" t="n">
        <v>710431.9300000001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549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44872.65</v>
      </c>
      <c r="Q8" s="89">
        <f>SUM(P8/E8)</f>
        <v/>
      </c>
      <c r="R8" s="260" t="n">
        <v>21741.16</v>
      </c>
      <c r="S8" s="89">
        <f>SUM(R8/E8)</f>
        <v/>
      </c>
      <c r="T8" s="281" t="n">
        <v>7215.5</v>
      </c>
      <c r="U8" s="9" t="n"/>
    </row>
    <row r="9" ht="15.6" customHeight="1">
      <c r="A9" s="198" t="inlineStr">
        <is>
          <t>Lynnwood</t>
        </is>
      </c>
      <c r="B9" s="145" t="n">
        <v>193389.34</v>
      </c>
      <c r="C9" s="73" t="n">
        <v>216093.02</v>
      </c>
      <c r="D9" s="145" t="n">
        <v>197544.45</v>
      </c>
      <c r="E9" s="145" t="n">
        <v>238882.51</v>
      </c>
      <c r="F9" s="130" t="n">
        <v>968745.77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807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44875.47</v>
      </c>
      <c r="Q9" s="89">
        <f>SUM(P9/E9)</f>
        <v/>
      </c>
      <c r="R9" s="260" t="n">
        <v>33190.39</v>
      </c>
      <c r="S9" s="89">
        <f>SUM(R9/E9)</f>
        <v/>
      </c>
      <c r="T9" s="281" t="n">
        <v>9416.799999999999</v>
      </c>
      <c r="U9" s="26" t="n"/>
    </row>
    <row r="10" ht="15.6" customHeight="1">
      <c r="A10" s="409" t="inlineStr">
        <is>
          <t>Melrose Arch</t>
        </is>
      </c>
      <c r="B10" s="145" t="n">
        <v>288431.05</v>
      </c>
      <c r="C10" s="73" t="n">
        <v>212110.67</v>
      </c>
      <c r="D10" s="145" t="n">
        <v>125875.45</v>
      </c>
      <c r="E10" s="145" t="n">
        <v>284219.88</v>
      </c>
      <c r="F10" s="130" t="n">
        <v>1307775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1007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51573.55</v>
      </c>
      <c r="Q10" s="89">
        <f>SUM(P10/E10)</f>
        <v/>
      </c>
      <c r="R10" s="260" t="n">
        <v>35668.05</v>
      </c>
      <c r="S10" s="89">
        <f>SUM(R10/E10)</f>
        <v/>
      </c>
      <c r="T10" s="281" t="n">
        <v>18147.76</v>
      </c>
      <c r="U10" s="26" t="n"/>
    </row>
    <row r="11" ht="15.6" customHeight="1">
      <c r="A11" s="409" t="inlineStr">
        <is>
          <t>Melville</t>
        </is>
      </c>
      <c r="B11" s="145" t="n">
        <v>0</v>
      </c>
      <c r="C11" s="295" t="n">
        <v>132507.6</v>
      </c>
      <c r="D11" s="145" t="n">
        <v>108071.58</v>
      </c>
      <c r="E11" s="145" t="n">
        <v>175361.57</v>
      </c>
      <c r="F11" s="130" t="n">
        <v>642370.0699999999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644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64080.83</v>
      </c>
      <c r="Q11" s="89">
        <f>SUM(P11/E11)</f>
        <v/>
      </c>
      <c r="R11" s="260" t="n">
        <v>37374.29</v>
      </c>
      <c r="S11" s="89">
        <f>SUM(R11/E11)</f>
        <v/>
      </c>
      <c r="T11" s="281" t="n">
        <v>4620.4</v>
      </c>
      <c r="U11" s="26" t="n"/>
    </row>
    <row r="12" ht="15.6" customHeight="1">
      <c r="A12" s="198" t="inlineStr">
        <is>
          <t>Cambridge Crossing</t>
        </is>
      </c>
      <c r="B12" s="145" t="n">
        <v>171116.79</v>
      </c>
      <c r="C12" s="73" t="n">
        <v>214731.95</v>
      </c>
      <c r="D12" s="145" t="n">
        <v>140061.42</v>
      </c>
      <c r="E12" s="145" t="n">
        <v>205658.13</v>
      </c>
      <c r="F12" s="130" t="n">
        <v>884127.89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32880.8</v>
      </c>
      <c r="Q12" s="89">
        <f>SUM(P12/E12)</f>
        <v/>
      </c>
      <c r="R12" s="260" t="n">
        <v>31812.53</v>
      </c>
      <c r="S12" s="89">
        <f>SUM(R12/E12)</f>
        <v/>
      </c>
      <c r="T12" s="281" t="n">
        <v>5549.5</v>
      </c>
      <c r="U12" s="9" t="n"/>
    </row>
    <row r="13" ht="16.2" customHeight="1" thickBot="1">
      <c r="A13" s="199" t="inlineStr">
        <is>
          <t>Queenswood</t>
        </is>
      </c>
      <c r="B13" s="146" t="n">
        <v>155532.37</v>
      </c>
      <c r="C13" s="131" t="n">
        <v>162603.09</v>
      </c>
      <c r="D13" s="131" t="n">
        <v>141804.13</v>
      </c>
      <c r="E13" s="146" t="n">
        <v>161698.1</v>
      </c>
      <c r="F13" s="134" t="n">
        <v>715294.73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586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23482.74</v>
      </c>
      <c r="Q13" s="116">
        <f>SUM(P13/E13)</f>
        <v/>
      </c>
      <c r="R13" s="261" t="n">
        <v>31123.43</v>
      </c>
      <c r="S13" s="116">
        <f>SUM(R13/E13)</f>
        <v/>
      </c>
      <c r="T13" s="283" t="n">
        <v>5806.58</v>
      </c>
      <c r="U13" s="9" t="n"/>
    </row>
    <row r="14" ht="15.6" customHeight="1">
      <c r="A14" s="409" t="inlineStr">
        <is>
          <t xml:space="preserve">Waterkloof </t>
        </is>
      </c>
      <c r="B14" s="145" t="n">
        <v>157170.6</v>
      </c>
      <c r="C14" s="73" t="n">
        <v>139006.44</v>
      </c>
      <c r="D14" s="145" t="n">
        <v>108477.81</v>
      </c>
      <c r="E14" s="145" t="n">
        <v>171762.54</v>
      </c>
      <c r="F14" s="130" t="n">
        <v>723120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45044.48</v>
      </c>
      <c r="Q14" s="89">
        <f>SUM(P14/E14)</f>
        <v/>
      </c>
      <c r="R14" s="260" t="n">
        <v>31987</v>
      </c>
      <c r="S14" s="89">
        <f>SUM(R14/E14)</f>
        <v/>
      </c>
      <c r="T14" s="281" t="n">
        <v>9162.6</v>
      </c>
      <c r="U14" s="26" t="n"/>
    </row>
    <row r="15" ht="15.6" customHeight="1">
      <c r="A15" s="198" t="inlineStr">
        <is>
          <t>Stellenbosch</t>
        </is>
      </c>
      <c r="B15" s="145" t="n">
        <v>111700.34</v>
      </c>
      <c r="C15" s="73" t="n">
        <v>157461.4</v>
      </c>
      <c r="D15" s="145" t="n">
        <v>100052.68</v>
      </c>
      <c r="E15" s="145" t="n">
        <v>135722.59</v>
      </c>
      <c r="F15" s="130" t="n">
        <v>568588.37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456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10938.34</v>
      </c>
      <c r="Q15" s="89">
        <f>SUM(P15/E15)</f>
        <v/>
      </c>
      <c r="R15" s="260" t="n">
        <v>25807.37</v>
      </c>
      <c r="S15" s="89">
        <f>SUM(R15/E15)</f>
        <v/>
      </c>
      <c r="T15" s="281" t="n">
        <v>9045.25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T15 E5:T7">
    <cfRule type="cellIs" priority="7" operator="equal" dxfId="0">
      <formula>0</formula>
    </cfRule>
  </conditionalFormatting>
  <conditionalFormatting sqref="D5:D6">
    <cfRule type="cellIs" priority="4" operator="equal" dxfId="0">
      <formula>0</formula>
    </cfRule>
  </conditionalFormatting>
  <conditionalFormatting sqref="P12:P13">
    <cfRule type="cellIs" priority="5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4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190506.85</v>
      </c>
      <c r="C5" s="73" t="n">
        <v>182706.98</v>
      </c>
      <c r="D5" s="145" t="n">
        <v>153553.33</v>
      </c>
      <c r="E5" s="145" t="n">
        <v>223073.31</v>
      </c>
      <c r="F5" s="145" t="n">
        <v>223073.31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689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 t="n">
        <v>0</v>
      </c>
      <c r="Q5" s="89">
        <f>SUM(P5/E5)</f>
        <v/>
      </c>
      <c r="R5" s="260" t="n">
        <v>27650.5</v>
      </c>
      <c r="S5" s="89">
        <f>SUM(R5/E5)</f>
        <v/>
      </c>
      <c r="T5" s="281" t="n">
        <v>2323.9</v>
      </c>
      <c r="U5" s="9" t="n"/>
    </row>
    <row r="6" ht="16.2" customHeight="1" thickBot="1">
      <c r="A6" s="409" t="inlineStr">
        <is>
          <t>Eagles Landing</t>
        </is>
      </c>
      <c r="B6" s="145" t="n">
        <v>253992.78</v>
      </c>
      <c r="C6" s="73" t="n">
        <v>313954.43</v>
      </c>
      <c r="D6" s="145" t="n">
        <v>222857.07</v>
      </c>
      <c r="E6" s="145" t="n">
        <v>246017.55</v>
      </c>
      <c r="F6" s="145" t="n">
        <v>246017.55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 t="n">
        <v>54268.17</v>
      </c>
      <c r="Q6" s="89">
        <f>SUM(P6/E6)</f>
        <v/>
      </c>
      <c r="R6" s="260" t="n">
        <v>23437.83</v>
      </c>
      <c r="S6" s="89">
        <f>SUM(R6/E6)</f>
        <v/>
      </c>
      <c r="T6" s="281" t="n">
        <v>17346.9</v>
      </c>
      <c r="U6" s="26" t="n"/>
    </row>
    <row r="7" ht="16.5" customHeight="1">
      <c r="A7" s="408" t="inlineStr">
        <is>
          <t>Irene Village</t>
        </is>
      </c>
      <c r="B7" s="144" t="n">
        <v>240166.92</v>
      </c>
      <c r="C7" s="255" t="n">
        <v>267972.63</v>
      </c>
      <c r="D7" s="197" t="n">
        <v>172837.49</v>
      </c>
      <c r="E7" s="144" t="n">
        <v>222929.78</v>
      </c>
      <c r="F7" s="144" t="n">
        <v>222929.78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652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59" t="n">
        <v>51754.24</v>
      </c>
      <c r="Q7" s="128">
        <f>SUM(P7/E7)</f>
        <v/>
      </c>
      <c r="R7" s="259" t="n">
        <v>3408.5</v>
      </c>
      <c r="S7" s="128">
        <f>SUM(R7/E7)</f>
        <v/>
      </c>
      <c r="T7" s="286" t="n">
        <v>8133.5</v>
      </c>
      <c r="U7" s="26" t="n"/>
    </row>
    <row r="8" ht="15.6" customHeight="1">
      <c r="A8" s="198" t="inlineStr">
        <is>
          <t>Kyalami Corner</t>
        </is>
      </c>
      <c r="B8" s="145" t="n">
        <v>166955.5</v>
      </c>
      <c r="C8" s="73" t="n">
        <v>123420.75</v>
      </c>
      <c r="D8" s="145" t="n">
        <v>104945.28</v>
      </c>
      <c r="E8" s="145" t="n">
        <v>142525.06</v>
      </c>
      <c r="F8" s="145" t="n">
        <v>142525.06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 t="n">
        <v>41459.05</v>
      </c>
      <c r="Q8" s="89">
        <f>SUM(P8/E8)</f>
        <v/>
      </c>
      <c r="R8" s="260" t="n">
        <v>23971.17</v>
      </c>
      <c r="S8" s="89">
        <f>SUM(R8/E8)</f>
        <v/>
      </c>
      <c r="T8" s="281" t="n">
        <v>6239.5</v>
      </c>
      <c r="U8" s="9" t="n"/>
    </row>
    <row r="9" ht="15.6" customHeight="1">
      <c r="A9" s="198" t="inlineStr">
        <is>
          <t>Lynnwood</t>
        </is>
      </c>
      <c r="B9" s="145" t="n">
        <v>238882.51</v>
      </c>
      <c r="C9" s="73" t="n">
        <v>210396.93</v>
      </c>
      <c r="D9" s="145" t="n">
        <v>165697.49</v>
      </c>
      <c r="E9" s="145" t="n">
        <v>210674.76</v>
      </c>
      <c r="F9" s="145" t="n">
        <v>210674.76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 t="n">
        <v>46089.64</v>
      </c>
      <c r="Q9" s="89">
        <f>SUM(P9/E9)</f>
        <v/>
      </c>
      <c r="R9" s="260" t="n">
        <v>38729.66</v>
      </c>
      <c r="S9" s="89">
        <f>SUM(R9/E9)</f>
        <v/>
      </c>
      <c r="T9" s="281" t="n">
        <v>6687</v>
      </c>
      <c r="U9" s="26" t="n"/>
    </row>
    <row r="10" ht="15.6" customHeight="1">
      <c r="A10" s="409" t="inlineStr">
        <is>
          <t>Melrose Arch</t>
        </is>
      </c>
      <c r="B10" s="145" t="n">
        <v>284219.88</v>
      </c>
      <c r="C10" s="73" t="n">
        <v>215626.05</v>
      </c>
      <c r="D10" s="145" t="n">
        <v>162250.41</v>
      </c>
      <c r="E10" s="145" t="n">
        <v>253761.63</v>
      </c>
      <c r="F10" s="145" t="n">
        <v>253761.63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844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 t="n">
        <v>49641.38</v>
      </c>
      <c r="Q10" s="89">
        <f>SUM(P10/E10)</f>
        <v/>
      </c>
      <c r="R10" s="260" t="n">
        <v>38935.87</v>
      </c>
      <c r="S10" s="89">
        <f>SUM(R10/E10)</f>
        <v/>
      </c>
      <c r="T10" s="281" t="n">
        <v>12631.23</v>
      </c>
      <c r="U10" s="26" t="n"/>
    </row>
    <row r="11" ht="15.6" customHeight="1">
      <c r="A11" s="409" t="inlineStr">
        <is>
          <t>Melville</t>
        </is>
      </c>
      <c r="B11" s="145" t="n">
        <v>175361.57</v>
      </c>
      <c r="C11" s="295" t="n">
        <v>103484.13</v>
      </c>
      <c r="D11" s="145" t="n">
        <v>109675.64</v>
      </c>
      <c r="E11" s="145" t="n">
        <v>137253.75</v>
      </c>
      <c r="F11" s="145" t="n">
        <v>137253.75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522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 t="n">
        <v>54114.28</v>
      </c>
      <c r="Q11" s="89">
        <f>SUM(P11/E11)</f>
        <v/>
      </c>
      <c r="R11" s="260" t="n">
        <v>23493</v>
      </c>
      <c r="S11" s="89">
        <f>SUM(R11/E11)</f>
        <v/>
      </c>
      <c r="T11" s="281" t="n">
        <v>4760.65</v>
      </c>
      <c r="U11" s="26" t="n"/>
    </row>
    <row r="12" ht="15.6" customHeight="1">
      <c r="A12" s="198" t="inlineStr">
        <is>
          <t>Cambridge Crossing</t>
        </is>
      </c>
      <c r="B12" s="145" t="n">
        <v>205658.13</v>
      </c>
      <c r="C12" s="73" t="n">
        <v>198462.73</v>
      </c>
      <c r="D12" s="145" t="n">
        <v>132455.42</v>
      </c>
      <c r="E12" s="145" t="n">
        <v>203624.91</v>
      </c>
      <c r="F12" s="145" t="n">
        <v>203624.91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 t="n">
        <v>39392</v>
      </c>
      <c r="Q12" s="89">
        <f>SUM(P12/E12)</f>
        <v/>
      </c>
      <c r="R12" s="260" t="n">
        <v>39005.12</v>
      </c>
      <c r="S12" s="89">
        <f>SUM(R12/E12)</f>
        <v/>
      </c>
      <c r="T12" s="281" t="n">
        <v>6636.5</v>
      </c>
      <c r="U12" s="9" t="n"/>
    </row>
    <row r="13" ht="16.2" customHeight="1" thickBot="1">
      <c r="A13" s="199" t="inlineStr">
        <is>
          <t>Queenswood</t>
        </is>
      </c>
      <c r="B13" s="146" t="n">
        <v>161698.1</v>
      </c>
      <c r="C13" s="131" t="n">
        <v>143407</v>
      </c>
      <c r="D13" s="131" t="n">
        <v>119669.17</v>
      </c>
      <c r="E13" s="146" t="n">
        <v>149649.69</v>
      </c>
      <c r="F13" s="146" t="n">
        <v>149649.69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570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1" t="n">
        <v>24765</v>
      </c>
      <c r="Q13" s="116">
        <f>SUM(P13/E13)</f>
        <v/>
      </c>
      <c r="R13" s="261" t="n">
        <v>27536.41</v>
      </c>
      <c r="S13" s="116">
        <f>SUM(R13/E13)</f>
        <v/>
      </c>
      <c r="T13" s="283" t="n">
        <v>4839.07</v>
      </c>
      <c r="U13" s="9" t="n"/>
    </row>
    <row r="14" ht="15.6" customHeight="1">
      <c r="A14" s="409" t="inlineStr">
        <is>
          <t xml:space="preserve">Waterkloof </t>
        </is>
      </c>
      <c r="B14" s="145" t="n">
        <v>171762.54</v>
      </c>
      <c r="C14" s="73" t="n">
        <v>126339</v>
      </c>
      <c r="D14" s="145" t="n">
        <v>117926</v>
      </c>
      <c r="E14" s="145" t="n">
        <v>174804.45</v>
      </c>
      <c r="F14" s="145" t="n">
        <v>174804.45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527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 t="n">
        <v>41913.83</v>
      </c>
      <c r="Q14" s="89">
        <f>SUM(P14/E14)</f>
        <v/>
      </c>
      <c r="R14" s="260" t="n">
        <v>35659.01</v>
      </c>
      <c r="S14" s="89">
        <f>SUM(R14/E14)</f>
        <v/>
      </c>
      <c r="T14" s="281" t="n">
        <v>7453.5</v>
      </c>
      <c r="U14" s="26" t="n"/>
    </row>
    <row r="15" ht="15.6" customHeight="1">
      <c r="A15" s="198" t="inlineStr">
        <is>
          <t>Stellenbosch</t>
        </is>
      </c>
      <c r="B15" s="145" t="n">
        <v>135722.59</v>
      </c>
      <c r="C15" s="73" t="n">
        <v>120679.88</v>
      </c>
      <c r="D15" s="145" t="n">
        <v>102729.9</v>
      </c>
      <c r="E15" s="145" t="n">
        <v>131370.49</v>
      </c>
      <c r="F15" s="145" t="n">
        <v>131370.49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470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 t="n">
        <v>15472.5</v>
      </c>
      <c r="Q15" s="89">
        <f>SUM(P15/E15)</f>
        <v/>
      </c>
      <c r="R15" s="260" t="n">
        <v>24286.77</v>
      </c>
      <c r="S15" s="89">
        <f>SUM(R15/E15)</f>
        <v/>
      </c>
      <c r="T15" s="281" t="n">
        <v>6353.5</v>
      </c>
      <c r="U15" s="26" t="n"/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4" operator="equal" dxfId="0">
      <formula>0</formula>
    </cfRule>
  </conditionalFormatting>
  <conditionalFormatting sqref="D5:D6">
    <cfRule type="cellIs" priority="1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135">
        <f>SUM(B5:B15)</f>
        <v/>
      </c>
      <c r="C4" s="135">
        <f>SUM(C5:C15)</f>
        <v/>
      </c>
      <c r="D4" s="135">
        <f>SUM(D5:D15)</f>
        <v/>
      </c>
      <c r="E4" s="135">
        <f>SUM(E5:E15)</f>
        <v/>
      </c>
      <c r="F4" s="135">
        <f>SUM(F5:F15)</f>
        <v/>
      </c>
      <c r="G4" s="217">
        <f>IFERROR((SUM(E4-C4)/C4),0)</f>
        <v/>
      </c>
      <c r="H4" s="217">
        <f>IFERROR((SUM(E4-D4)/D4),0)</f>
        <v/>
      </c>
      <c r="I4" s="217">
        <f>IFERROR((SUM(E4-B4)/E4),0)</f>
        <v/>
      </c>
      <c r="J4" s="262">
        <f>SUM(J5:J15)</f>
        <v/>
      </c>
      <c r="K4" s="218">
        <f>AVERAGE(K5:K15)</f>
        <v/>
      </c>
      <c r="L4" s="219">
        <f>SUM(L5:L15)</f>
        <v/>
      </c>
      <c r="M4" s="220">
        <f>IFERROR(L4/J4,0)</f>
        <v/>
      </c>
      <c r="N4" s="221">
        <f>SUM(N7:N15)</f>
        <v/>
      </c>
      <c r="O4" s="222">
        <f>IFERROR(N4/SUM(J4),0)</f>
        <v/>
      </c>
      <c r="P4" s="249">
        <f>SUM(P5:P15)</f>
        <v/>
      </c>
      <c r="Q4" s="222">
        <f>SUM(P4/E4)</f>
        <v/>
      </c>
      <c r="R4" s="244">
        <f>SUM(R5:R15)</f>
        <v/>
      </c>
      <c r="S4" s="222">
        <f>SUM(R4/E4)</f>
        <v/>
      </c>
      <c r="T4" s="257" t="n"/>
      <c r="U4" s="24" t="n"/>
    </row>
    <row r="5" ht="15.6" customHeight="1">
      <c r="A5" s="198" t="inlineStr">
        <is>
          <t>Hartenbos</t>
        </is>
      </c>
      <c r="B5" s="145" t="n">
        <v>223073.31</v>
      </c>
      <c r="C5" s="73" t="n">
        <v>149035.45</v>
      </c>
      <c r="D5" s="145" t="n">
        <v>131076.87</v>
      </c>
      <c r="E5" s="145" t="n">
        <v>250229.34</v>
      </c>
      <c r="F5" s="145" t="n">
        <v>473302.65</v>
      </c>
      <c r="G5" s="288">
        <f>IFERROR((SUM(E5-C5)/C5),0)</f>
        <v/>
      </c>
      <c r="H5" s="155">
        <f>IFERROR((SUM(E5-D5)/D5),0)</f>
        <v/>
      </c>
      <c r="I5" s="263">
        <f>IFERROR((SUM(E5-B5)/B5),0)</f>
        <v/>
      </c>
      <c r="J5" s="273" t="n">
        <v>740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172">
        <f>IFERROR(N5/SUM(J5),0)</f>
        <v/>
      </c>
      <c r="P5" s="260">
        <f>X5</f>
        <v/>
      </c>
      <c r="Q5" s="89">
        <f>SUM(P5/E5)</f>
        <v/>
      </c>
      <c r="R5" s="260">
        <f>AA5</f>
        <v/>
      </c>
      <c r="S5" s="89">
        <f>SUM(R5/E5)</f>
        <v/>
      </c>
      <c r="T5" s="281" t="n">
        <v>2210</v>
      </c>
      <c r="U5" s="9" t="n"/>
      <c r="W5" s="260" t="n"/>
      <c r="X5" s="297">
        <f>W5/1.15</f>
        <v/>
      </c>
      <c r="Z5" s="260" t="n">
        <v>27288.5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145" t="n">
        <v>246017.55</v>
      </c>
      <c r="C6" s="73" t="n">
        <v>351899.09</v>
      </c>
      <c r="D6" s="145" t="n">
        <v>171775.58</v>
      </c>
      <c r="E6" s="145" t="n">
        <v>225621.66</v>
      </c>
      <c r="F6" s="145" t="n">
        <v>471639.21</v>
      </c>
      <c r="G6" s="288">
        <f>IFERROR((SUM(E6-C6)/C6),0)</f>
        <v/>
      </c>
      <c r="H6" s="155">
        <f>IFERROR((SUM(E6-D6)/D6),0)</f>
        <v/>
      </c>
      <c r="I6" s="263">
        <f>IFERROR((SUM(E6-B6)/B6),0)</f>
        <v/>
      </c>
      <c r="J6" s="273" t="n">
        <v>699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172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81" t="n">
        <v>8132.5</v>
      </c>
      <c r="U6" s="26" t="n"/>
      <c r="W6" s="260" t="n">
        <v>52017.79</v>
      </c>
      <c r="X6" s="297">
        <f>W6/1.15</f>
        <v/>
      </c>
      <c r="Z6" s="260" t="n">
        <v>18765.5</v>
      </c>
      <c r="AA6" s="297">
        <f>Z6/1.15</f>
        <v/>
      </c>
    </row>
    <row r="7" ht="16.5" customHeight="1">
      <c r="A7" s="408" t="inlineStr">
        <is>
          <t>Irene Village</t>
        </is>
      </c>
      <c r="B7" s="144" t="n">
        <v>222929.78</v>
      </c>
      <c r="C7" s="255" t="n">
        <v>222616.58</v>
      </c>
      <c r="D7" s="197" t="n">
        <v>183717.7</v>
      </c>
      <c r="E7" s="144" t="n">
        <v>251168.25</v>
      </c>
      <c r="F7" s="144" t="n">
        <v>474098.03</v>
      </c>
      <c r="G7" s="287">
        <f>IFERROR((SUM(E7-C7)/C7),0)</f>
        <v/>
      </c>
      <c r="H7" s="154">
        <f>IFERROR((SUM(E7-D7)/D7),0)</f>
        <v/>
      </c>
      <c r="I7" s="266">
        <f>IFERROR((SUM(E7-B7)/B7),0)</f>
        <v/>
      </c>
      <c r="J7" s="285" t="n">
        <v>814</v>
      </c>
      <c r="K7" s="124">
        <f>IFERROR(E7/J7,0)</f>
        <v/>
      </c>
      <c r="L7" s="125" t="n">
        <v>4</v>
      </c>
      <c r="M7" s="126">
        <f>IFERROR(L7/J7,0)</f>
        <v/>
      </c>
      <c r="N7" s="127" t="n">
        <v>24</v>
      </c>
      <c r="O7" s="171">
        <f>IFERROR(N7/SUM(J7),0)</f>
        <v/>
      </c>
      <c r="P7" s="260">
        <f>X7</f>
        <v/>
      </c>
      <c r="Q7" s="128">
        <f>SUM(P7/E7)</f>
        <v/>
      </c>
      <c r="R7" s="260">
        <f>AA7</f>
        <v/>
      </c>
      <c r="S7" s="128">
        <f>SUM(R7/E7)</f>
        <v/>
      </c>
      <c r="T7" s="286" t="n">
        <v>21812.5</v>
      </c>
      <c r="U7" s="26" t="n"/>
      <c r="W7" s="260" t="n">
        <v>50075.45</v>
      </c>
      <c r="X7" s="297">
        <f>W7/1.15</f>
        <v/>
      </c>
      <c r="Z7" s="260" t="n">
        <v>17706.67</v>
      </c>
      <c r="AA7" s="297">
        <f>Z7/1.15</f>
        <v/>
      </c>
    </row>
    <row r="8" ht="15.6" customHeight="1">
      <c r="A8" s="198" t="inlineStr">
        <is>
          <t>Kyalami Corner</t>
        </is>
      </c>
      <c r="B8" s="145" t="n">
        <v>142525.06</v>
      </c>
      <c r="C8" s="73" t="n">
        <v>119169.43</v>
      </c>
      <c r="D8" s="145" t="n">
        <v>108865.93</v>
      </c>
      <c r="E8" s="145" t="n">
        <v>149602.25</v>
      </c>
      <c r="F8" s="145" t="n">
        <v>292127.31</v>
      </c>
      <c r="G8" s="288">
        <f>IFERROR((SUM(E8-C8)/C8),0)</f>
        <v/>
      </c>
      <c r="H8" s="155">
        <f>IFERROR((SUM(E8-D8)/D8),0)</f>
        <v/>
      </c>
      <c r="I8" s="263">
        <f>IFERROR((SUM(E8-B8)/B8),0)</f>
        <v/>
      </c>
      <c r="J8" s="273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172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281" t="n">
        <v>10501.5</v>
      </c>
      <c r="U8" s="9" t="n"/>
      <c r="W8" s="260" t="n">
        <v>40597.66</v>
      </c>
      <c r="X8" s="297">
        <f>W8/1.15</f>
        <v/>
      </c>
      <c r="Z8" s="260" t="n">
        <v>19780.74</v>
      </c>
      <c r="AA8" s="297">
        <f>Z8/1.15</f>
        <v/>
      </c>
    </row>
    <row r="9" ht="15.6" customHeight="1">
      <c r="A9" s="198" t="inlineStr">
        <is>
          <t>Lynnwood</t>
        </is>
      </c>
      <c r="B9" s="145" t="n">
        <v>210674.76</v>
      </c>
      <c r="C9" s="73" t="n">
        <v>217294.08</v>
      </c>
      <c r="D9" s="145" t="n">
        <v>172155.22</v>
      </c>
      <c r="E9" s="145" t="n">
        <v>206309.34</v>
      </c>
      <c r="F9" s="145" t="n">
        <v>416984.1</v>
      </c>
      <c r="G9" s="288">
        <f>IFERROR((SUM(E9-C9)/C9),0)</f>
        <v/>
      </c>
      <c r="H9" s="155">
        <f>IFERROR((SUM(E9-D9)/D9),0)</f>
        <v/>
      </c>
      <c r="I9" s="263">
        <f>IFERROR((SUM(E9-B9)/B9),0)</f>
        <v/>
      </c>
      <c r="J9" s="273" t="n">
        <v>724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172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81" t="n">
        <v>8258</v>
      </c>
      <c r="U9" s="26" t="n"/>
      <c r="W9" s="260" t="n">
        <v>41367.08</v>
      </c>
      <c r="X9" s="297">
        <f>W9/1.15</f>
        <v/>
      </c>
      <c r="Z9" s="260" t="n">
        <v>39219.19</v>
      </c>
      <c r="AA9" s="297">
        <f>Z9/1.15</f>
        <v/>
      </c>
    </row>
    <row r="10" ht="15.6" customHeight="1">
      <c r="A10" s="409" t="inlineStr">
        <is>
          <t>Melrose Arch</t>
        </is>
      </c>
      <c r="B10" s="145" t="n">
        <v>253761.63</v>
      </c>
      <c r="C10" s="73" t="n">
        <v>197449.78</v>
      </c>
      <c r="D10" s="145" t="n">
        <v>145245.69</v>
      </c>
      <c r="E10" s="145" t="n">
        <v>343437.12</v>
      </c>
      <c r="F10" s="145" t="n">
        <v>597198.75</v>
      </c>
      <c r="G10" s="288">
        <f>IFERROR((SUM(E10-C10)/C10),0)</f>
        <v/>
      </c>
      <c r="H10" s="155">
        <f>IFERROR((SUM(E10-D10)/D10),0)</f>
        <v/>
      </c>
      <c r="I10" s="263">
        <f>IFERROR((SUM(E10-B10)/B10),0)</f>
        <v/>
      </c>
      <c r="J10" s="273" t="n">
        <v>1075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172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81" t="n">
        <v>17542.01</v>
      </c>
      <c r="U10" s="26" t="n"/>
      <c r="W10" s="260" t="n">
        <v>53907.43</v>
      </c>
      <c r="X10" s="297">
        <f>W10/1.15</f>
        <v/>
      </c>
      <c r="Z10" s="260" t="n">
        <v>30624.22</v>
      </c>
      <c r="AA10" s="297">
        <f>Z10/1.15</f>
        <v/>
      </c>
    </row>
    <row r="11" ht="15.6" customHeight="1">
      <c r="A11" s="409" t="inlineStr">
        <is>
          <t>Melville</t>
        </is>
      </c>
      <c r="B11" s="145" t="n">
        <v>137253.75</v>
      </c>
      <c r="C11" s="295" t="n">
        <v>78509.75</v>
      </c>
      <c r="D11" s="145" t="n">
        <v>107457.81</v>
      </c>
      <c r="E11" s="145" t="n">
        <v>142653.71</v>
      </c>
      <c r="F11" s="145" t="n">
        <v>279907.46</v>
      </c>
      <c r="G11" s="288">
        <f>IFERROR((SUM(E11-C11)/C11),0)</f>
        <v/>
      </c>
      <c r="H11" s="155">
        <f>IFERROR((SUM(E11-D11)/D11),0)</f>
        <v/>
      </c>
      <c r="I11" s="263">
        <f>IFERROR((SUM(E11-B11)/B11),0)</f>
        <v/>
      </c>
      <c r="J11" s="273" t="n">
        <v>486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172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81" t="n">
        <v>5162.44</v>
      </c>
      <c r="U11" s="26" t="n"/>
      <c r="W11" s="260" t="n">
        <v>53709.41</v>
      </c>
      <c r="X11" s="297">
        <f>W11/1.15</f>
        <v/>
      </c>
      <c r="Z11" s="260" t="n">
        <v>29900.33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145" t="n">
        <v>203624.91</v>
      </c>
      <c r="C12" s="73" t="n">
        <v>209337.65</v>
      </c>
      <c r="D12" s="145" t="n">
        <v>152726.89</v>
      </c>
      <c r="E12" s="145" t="n">
        <v>197141.69</v>
      </c>
      <c r="F12" s="145" t="n">
        <v>400766.6</v>
      </c>
      <c r="G12" s="288">
        <f>IFERROR((SUM(E12-C12)/C12),0)</f>
        <v/>
      </c>
      <c r="H12" s="155">
        <f>IFERROR((SUM(E12-D12)/D12),0)</f>
        <v/>
      </c>
      <c r="I12" s="263">
        <f>IFERROR((SUM(E12-B12)/B12),0)</f>
        <v/>
      </c>
      <c r="J12" s="273" t="n">
        <v>704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172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81" t="n">
        <v>5541</v>
      </c>
      <c r="U12" s="9" t="n"/>
      <c r="W12" s="260" t="n">
        <v>38443.75</v>
      </c>
      <c r="X12" s="297">
        <f>W12/1.15</f>
        <v/>
      </c>
      <c r="Z12" s="260" t="n">
        <v>31318.36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146" t="n">
        <v>149649.69</v>
      </c>
      <c r="C13" s="131" t="n">
        <v>147869.29</v>
      </c>
      <c r="D13" s="131" t="n">
        <v>131997.35</v>
      </c>
      <c r="E13" s="146" t="n">
        <v>154231.74</v>
      </c>
      <c r="F13" s="146" t="n">
        <v>303881.43</v>
      </c>
      <c r="G13" s="289">
        <f>IFERROR((SUM(E13-C13)/C13),0)</f>
        <v/>
      </c>
      <c r="H13" s="156">
        <f>IFERROR((SUM(E13-D13)/D13),0)</f>
        <v/>
      </c>
      <c r="I13" s="264">
        <f>IFERROR((SUM(E13-B13)/B13),0)</f>
        <v/>
      </c>
      <c r="J13" s="282" t="n">
        <v>578</v>
      </c>
      <c r="K13" s="132">
        <f>IFERROR(E13/J13,0)</f>
        <v/>
      </c>
      <c r="L13" s="133" t="n">
        <v>13</v>
      </c>
      <c r="M13" s="114">
        <f>IFERROR(L13/J13,0)</f>
        <v/>
      </c>
      <c r="N13" s="115" t="n">
        <v>37</v>
      </c>
      <c r="O13" s="173">
        <f>IFERROR(N13/SUM(J13),0)</f>
        <v/>
      </c>
      <c r="P13" s="260">
        <f>X13</f>
        <v/>
      </c>
      <c r="Q13" s="116">
        <f>SUM(P13/E13)</f>
        <v/>
      </c>
      <c r="R13" s="260">
        <f>AA13</f>
        <v/>
      </c>
      <c r="S13" s="116">
        <f>SUM(R13/E13)</f>
        <v/>
      </c>
      <c r="T13" s="283" t="n">
        <v>5327.17</v>
      </c>
      <c r="U13" s="9" t="n"/>
      <c r="W13" s="260" t="n">
        <v>15259.54</v>
      </c>
      <c r="X13" s="297">
        <f>W13/1.15</f>
        <v/>
      </c>
      <c r="Z13" s="260" t="n">
        <v>31526.68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145" t="n">
        <v>174804.45</v>
      </c>
      <c r="C14" s="73" t="n">
        <v>154333.15</v>
      </c>
      <c r="D14" s="145" t="n">
        <v>122396.48</v>
      </c>
      <c r="E14" s="145" t="n">
        <v>178592.68</v>
      </c>
      <c r="F14" s="145" t="n">
        <v>353397.13</v>
      </c>
      <c r="G14" s="288">
        <f>IFERROR((SUM(E14-C14)/C14),0)</f>
        <v/>
      </c>
      <c r="H14" s="155">
        <f>IFERROR((SUM(E14-D14)/D14),0)</f>
        <v/>
      </c>
      <c r="I14" s="263">
        <f>IFERROR((SUM(E14-B14)/B14),0)</f>
        <v/>
      </c>
      <c r="J14" s="273" t="n">
        <v>515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172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81" t="n">
        <v>5622.7</v>
      </c>
      <c r="U14" s="26" t="n"/>
      <c r="W14" s="260" t="n">
        <v>47363.14</v>
      </c>
      <c r="X14" s="297">
        <f>W14/1.15</f>
        <v/>
      </c>
      <c r="Z14" s="260" t="n">
        <v>26294</v>
      </c>
      <c r="AA14" s="297">
        <f>Z14/1.15</f>
        <v/>
      </c>
    </row>
    <row r="15" ht="15.6" customHeight="1">
      <c r="A15" s="198" t="inlineStr">
        <is>
          <t>Stellenbosch</t>
        </is>
      </c>
      <c r="B15" s="145" t="n">
        <v>131370.49</v>
      </c>
      <c r="C15" s="73" t="n">
        <v>158515.24</v>
      </c>
      <c r="D15" s="145" t="n">
        <v>100293.99</v>
      </c>
      <c r="E15" s="145" t="n">
        <v>130051.87</v>
      </c>
      <c r="F15" s="145" t="n">
        <v>261422.36</v>
      </c>
      <c r="G15" s="288">
        <f>IFERROR((SUM(E15-C15)/C15),0)</f>
        <v/>
      </c>
      <c r="H15" s="155">
        <f>IFERROR((SUM(E15-D15)/D15),0)</f>
        <v/>
      </c>
      <c r="I15" s="263">
        <f>IFERROR((SUM(E15-B15)/B15),0)</f>
        <v/>
      </c>
      <c r="J15" s="273" t="n">
        <v>486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172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81" t="n">
        <v>8362</v>
      </c>
      <c r="U15" s="26" t="n"/>
      <c r="W15" s="260" t="n">
        <v>22018.83</v>
      </c>
      <c r="X15" s="297">
        <f>W15/1.15</f>
        <v/>
      </c>
      <c r="Z15" s="260" t="n">
        <v>27509.04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B15 C5:C7 C8:E15 E5:E7 F5:T15">
    <cfRule type="cellIs" priority="8" operator="equal" dxfId="0">
      <formula>0</formula>
    </cfRule>
  </conditionalFormatting>
  <conditionalFormatting sqref="D5:D6">
    <cfRule type="cellIs" priority="5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:W15">
    <cfRule type="cellIs" priority="2" operator="equal" dxfId="0">
      <formula>0</formula>
    </cfRule>
  </conditionalFormatting>
  <conditionalFormatting sqref="Z5:Z1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250229.34</v>
      </c>
      <c r="C5" s="73" t="n">
        <v>144589.57</v>
      </c>
      <c r="D5" s="73" t="n">
        <v>144860.75</v>
      </c>
      <c r="E5" s="73" t="n">
        <v>203120.59</v>
      </c>
      <c r="F5" s="73" t="n">
        <v>676423.24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80" t="n">
        <v>578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297" t="n">
        <v>4139</v>
      </c>
      <c r="U5" s="9" t="n"/>
      <c r="W5" s="260" t="n"/>
      <c r="X5" s="297">
        <f>W5/1.15</f>
        <v/>
      </c>
      <c r="Z5" t="n">
        <v>16091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225621.66</v>
      </c>
      <c r="C6" s="73" t="n">
        <v>360091.79</v>
      </c>
      <c r="D6" s="73" t="n">
        <v>228766.7</v>
      </c>
      <c r="E6" s="73" t="n">
        <v>196366.64</v>
      </c>
      <c r="F6" s="73" t="n">
        <v>668005.85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80" t="n">
        <v>626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297" t="n">
        <v>8660.1</v>
      </c>
      <c r="U6" s="26" t="n"/>
      <c r="W6" t="n">
        <v>40890.35</v>
      </c>
      <c r="X6" s="297">
        <f>W6/1.15</f>
        <v/>
      </c>
      <c r="Z6" t="n">
        <v>21359.5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251168.25</v>
      </c>
      <c r="C7" s="73" t="n">
        <v>231767.72</v>
      </c>
      <c r="D7" s="73" t="n">
        <v>159000.87</v>
      </c>
      <c r="E7" s="73" t="n">
        <v>194288.81</v>
      </c>
      <c r="F7" s="73" t="n">
        <v>668386.84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80" t="n">
        <v>615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297" t="n">
        <v>7794</v>
      </c>
      <c r="U7" s="26" t="n"/>
      <c r="W7" t="n">
        <v>41861.15</v>
      </c>
      <c r="X7" s="297">
        <f>W7/1.15</f>
        <v/>
      </c>
      <c r="Z7" t="n">
        <v>388.68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149602.25</v>
      </c>
      <c r="C8" s="73" t="n">
        <v>132180.87</v>
      </c>
      <c r="D8" s="73" t="n">
        <v>123771.25</v>
      </c>
      <c r="E8" s="73" t="n">
        <v>148905.81</v>
      </c>
      <c r="F8" s="73" t="n">
        <v>441033.12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80" t="n">
        <v>491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97" t="n">
        <v>35851.61</v>
      </c>
      <c r="Q8" s="89">
        <f>SUM(P8/E8)</f>
        <v/>
      </c>
      <c r="R8" s="260">
        <f>AA8</f>
        <v/>
      </c>
      <c r="S8" s="89">
        <f>SUM(R8/E8)</f>
        <v/>
      </c>
      <c r="T8" s="297" t="n">
        <v>6855.5</v>
      </c>
      <c r="U8" s="9" t="n"/>
      <c r="W8" t="n">
        <v>35851.61</v>
      </c>
      <c r="X8" s="297">
        <f>W8/1.15</f>
        <v/>
      </c>
      <c r="Z8" t="n">
        <v>17391.5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206309.34</v>
      </c>
      <c r="C9" s="73" t="n">
        <v>198305.39</v>
      </c>
      <c r="D9" s="73" t="n">
        <v>170345.73</v>
      </c>
      <c r="E9" s="73" t="n">
        <v>208809.95</v>
      </c>
      <c r="F9" s="73" t="n">
        <v>625794.05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80" t="n">
        <v>726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297" t="n">
        <v>7195.8</v>
      </c>
      <c r="U9" s="26" t="n"/>
      <c r="W9" t="n">
        <v>42526.51</v>
      </c>
      <c r="X9" s="297">
        <f>W9/1.15</f>
        <v/>
      </c>
      <c r="Z9" t="n">
        <v>35042.18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343437.12</v>
      </c>
      <c r="C10" s="73" t="n">
        <v>221483.49</v>
      </c>
      <c r="D10" s="73" t="n">
        <v>161964.35</v>
      </c>
      <c r="E10" s="73" t="n">
        <v>230636.06</v>
      </c>
      <c r="F10" s="73" t="n">
        <v>827834.8100000001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80" t="n">
        <v>791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297" t="n">
        <v>10288.13</v>
      </c>
      <c r="U10" s="26" t="n"/>
      <c r="W10" t="n">
        <v>59630.07</v>
      </c>
      <c r="X10" s="297">
        <f>W10/1.15</f>
        <v/>
      </c>
      <c r="Z10" t="n">
        <v>34099.07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142653.71</v>
      </c>
      <c r="C11" s="73" t="n">
        <v>108339.36</v>
      </c>
      <c r="D11" s="73" t="n">
        <v>123573.27</v>
      </c>
      <c r="E11" s="73" t="n">
        <v>114215.58</v>
      </c>
      <c r="F11" s="73" t="n">
        <v>394123.04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80" t="n">
        <v>441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297" t="n">
        <v>3350.5</v>
      </c>
      <c r="U11" s="26" t="n"/>
      <c r="W11" t="n">
        <v>46844.19</v>
      </c>
      <c r="X11" s="297">
        <f>W11/1.15</f>
        <v/>
      </c>
      <c r="Z11" t="n">
        <v>31352.83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197141.69</v>
      </c>
      <c r="C12" s="73" t="n">
        <v>198741.03</v>
      </c>
      <c r="D12" s="73" t="n">
        <v>149229.03</v>
      </c>
      <c r="E12" s="73" t="n">
        <v>189760.56</v>
      </c>
      <c r="F12" s="73" t="n">
        <v>590527.16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80" t="n">
        <v>666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297" t="n">
        <v>7273</v>
      </c>
      <c r="U12" s="9" t="n"/>
      <c r="W12" t="n">
        <v>34616.01</v>
      </c>
      <c r="X12" s="297">
        <f>W12/1.15</f>
        <v/>
      </c>
      <c r="Z12" t="n">
        <v>26456.64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154231.74</v>
      </c>
      <c r="C13" s="73" t="n">
        <v>159131.38</v>
      </c>
      <c r="D13" s="73" t="n">
        <v>134165.04</v>
      </c>
      <c r="E13" s="73" t="n">
        <v>153506.39</v>
      </c>
      <c r="F13" s="73" t="n">
        <v>457387.82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80" t="n">
        <v>545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297" t="n">
        <v>6518</v>
      </c>
      <c r="U13" s="9" t="n"/>
      <c r="W13" t="n">
        <v>19615.78</v>
      </c>
      <c r="X13" s="297">
        <f>W13/1.15</f>
        <v/>
      </c>
      <c r="Z13" t="n">
        <v>33884.45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178592.68</v>
      </c>
      <c r="C14" s="73" t="n">
        <v>146426.02</v>
      </c>
      <c r="D14" s="73" t="n">
        <v>126252.63</v>
      </c>
      <c r="E14" s="73" t="n">
        <v>184661.74</v>
      </c>
      <c r="F14" s="73" t="n">
        <v>538058.87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80" t="n">
        <v>578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297" t="n">
        <v>6479.4</v>
      </c>
      <c r="U14" s="26" t="n"/>
      <c r="W14" t="n">
        <v>49741.32</v>
      </c>
      <c r="X14" s="297">
        <f>W14/1.15</f>
        <v/>
      </c>
      <c r="Z14" t="n">
        <v>23825.54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130051.87</v>
      </c>
      <c r="C15" s="73" t="n">
        <v>140341.66</v>
      </c>
      <c r="D15" s="73" t="n">
        <v>88965.05</v>
      </c>
      <c r="E15" s="73" t="n">
        <v>147097.4</v>
      </c>
      <c r="F15" s="73" t="n">
        <v>408519.76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80" t="n">
        <v>474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297" t="n">
        <v>7352</v>
      </c>
      <c r="U15" s="26" t="n"/>
      <c r="W15" t="n">
        <v>25180.67</v>
      </c>
      <c r="X15" s="297">
        <f>W15/1.15</f>
        <v/>
      </c>
      <c r="Z15" t="n">
        <v>24905.04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B5:C5 B6 B7:C7 B8:B15 G5:I15 K5:S6 K7:Q7 K8:O8 K9:Q15 Q8 R7:S15">
    <cfRule type="cellIs" priority="8" operator="equal" dxfId="0">
      <formula>0</formula>
    </cfRule>
  </conditionalFormatting>
  <conditionalFormatting sqref="P12:P13">
    <cfRule type="cellIs" priority="6" operator="equal" dxfId="0">
      <formula>0</formula>
    </cfRule>
  </conditionalFormatting>
  <conditionalFormatting sqref="W5">
    <cfRule type="cellIs" priority="4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73" t="n">
        <v>203120.59</v>
      </c>
      <c r="C5" s="310" t="n">
        <v>144589.57</v>
      </c>
      <c r="D5" s="73" t="n">
        <v>139227.05</v>
      </c>
      <c r="E5" s="310" t="n">
        <v>212042.92</v>
      </c>
      <c r="F5" s="310" t="n">
        <v>888466.16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685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0" t="n">
        <v>2194.7</v>
      </c>
      <c r="U5" s="9" t="n"/>
      <c r="W5" s="260" t="n"/>
      <c r="X5" s="297">
        <f>W5/1.15</f>
        <v/>
      </c>
      <c r="Z5" t="n">
        <v>24912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73" t="n">
        <v>196366.64</v>
      </c>
      <c r="C6" s="310" t="n">
        <v>360091.79</v>
      </c>
      <c r="D6" s="73" t="n">
        <v>248739.18</v>
      </c>
      <c r="E6" s="310" t="n">
        <v>201569.89</v>
      </c>
      <c r="F6" s="310" t="n">
        <v>869575.74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653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0" t="n">
        <v>8476.09</v>
      </c>
      <c r="U6" s="26" t="n"/>
      <c r="W6" t="n">
        <v>50542.74</v>
      </c>
      <c r="X6" s="297">
        <f>W6/1.15</f>
        <v/>
      </c>
      <c r="Z6" t="n">
        <v>24830.53</v>
      </c>
      <c r="AA6" s="297">
        <f>Z6/1.15</f>
        <v/>
      </c>
    </row>
    <row r="7" ht="16.5" customHeight="1">
      <c r="A7" s="408" t="inlineStr">
        <is>
          <t>Irene Village</t>
        </is>
      </c>
      <c r="B7" s="73" t="n">
        <v>194288.81</v>
      </c>
      <c r="C7" s="310" t="n">
        <v>231767.72</v>
      </c>
      <c r="D7" s="73" t="n">
        <v>182635.28</v>
      </c>
      <c r="E7" s="310" t="n">
        <v>222418.21</v>
      </c>
      <c r="F7" s="310" t="n">
        <v>890805.05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0" t="n">
        <v>9710.5</v>
      </c>
      <c r="U7" s="26" t="n"/>
      <c r="W7" t="n">
        <v>37372.76</v>
      </c>
      <c r="X7" s="297">
        <f>W7/1.15</f>
        <v/>
      </c>
      <c r="Z7" t="n">
        <v>6724.25</v>
      </c>
      <c r="AA7" s="297">
        <f>Z7/1.15</f>
        <v/>
      </c>
    </row>
    <row r="8" ht="15.6" customHeight="1">
      <c r="A8" s="198" t="inlineStr">
        <is>
          <t>Kyalami Corner</t>
        </is>
      </c>
      <c r="B8" s="73" t="n">
        <v>148905.81</v>
      </c>
      <c r="C8" s="310" t="n">
        <v>132180.87</v>
      </c>
      <c r="D8" s="73" t="n">
        <v>119149.06</v>
      </c>
      <c r="E8" s="310" t="n">
        <v>148590.98</v>
      </c>
      <c r="F8" s="310" t="n">
        <v>589624.1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0" t="n">
        <v>4658</v>
      </c>
      <c r="U8" s="9" t="n"/>
      <c r="W8" t="n">
        <v>40498.2</v>
      </c>
      <c r="X8" s="297">
        <f>W8/1.15</f>
        <v/>
      </c>
      <c r="Z8" t="n">
        <v>19636.53</v>
      </c>
      <c r="AA8" s="297">
        <f>Z8/1.15</f>
        <v/>
      </c>
    </row>
    <row r="9" ht="15.6" customHeight="1">
      <c r="A9" s="198" t="inlineStr">
        <is>
          <t>Lynnwood</t>
        </is>
      </c>
      <c r="B9" s="73" t="n">
        <v>208809.95</v>
      </c>
      <c r="C9" s="310" t="n">
        <v>198305.39</v>
      </c>
      <c r="D9" s="73" t="n">
        <v>200623.02</v>
      </c>
      <c r="E9" s="310" t="n">
        <v>212422.03</v>
      </c>
      <c r="F9" s="310" t="n">
        <v>838216.08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0" t="n">
        <v>8004.5</v>
      </c>
      <c r="U9" s="26" t="n"/>
      <c r="W9" t="n">
        <v>38002.62</v>
      </c>
      <c r="X9" s="297">
        <f>W9/1.15</f>
        <v/>
      </c>
      <c r="Z9" t="n">
        <v>28711.46</v>
      </c>
      <c r="AA9" s="297">
        <f>Z9/1.15</f>
        <v/>
      </c>
    </row>
    <row r="10" ht="15.6" customHeight="1">
      <c r="A10" s="409" t="inlineStr">
        <is>
          <t>Melrose Arch</t>
        </is>
      </c>
      <c r="B10" s="73" t="n">
        <v>230636.06</v>
      </c>
      <c r="C10" s="310" t="n">
        <v>221483.49</v>
      </c>
      <c r="D10" s="310" t="n">
        <v>156293.04</v>
      </c>
      <c r="E10" s="310" t="n">
        <v>272667.7</v>
      </c>
      <c r="F10" s="310" t="n">
        <v>1100502.51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970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0" t="n">
        <v>11905.42</v>
      </c>
      <c r="U10" s="26" t="n"/>
      <c r="W10" t="n">
        <v>61434.47</v>
      </c>
      <c r="X10" s="297">
        <f>W10/1.15</f>
        <v/>
      </c>
      <c r="Z10" t="n">
        <v>29576.84</v>
      </c>
      <c r="AA10" s="297">
        <f>Z10/1.15</f>
        <v/>
      </c>
    </row>
    <row r="11" ht="15.6" customHeight="1">
      <c r="A11" s="409" t="inlineStr">
        <is>
          <t>Melville</t>
        </is>
      </c>
      <c r="B11" s="73" t="n">
        <v>114215.58</v>
      </c>
      <c r="C11" s="310" t="n">
        <v>108339.36</v>
      </c>
      <c r="D11" s="310" t="n">
        <v>112270.21</v>
      </c>
      <c r="E11" s="310" t="n">
        <v>152939.37</v>
      </c>
      <c r="F11" s="310" t="n">
        <v>547062.41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0" t="n">
        <v>4759.5</v>
      </c>
      <c r="U11" s="26" t="n"/>
      <c r="W11" t="n">
        <v>55828.53</v>
      </c>
      <c r="X11" s="297">
        <f>W11/1.15</f>
        <v/>
      </c>
      <c r="Z11" t="n">
        <v>24540.7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73" t="n">
        <v>189760.56</v>
      </c>
      <c r="C12" s="310" t="n">
        <v>198741.03</v>
      </c>
      <c r="D12" s="310" t="n">
        <v>164986.63</v>
      </c>
      <c r="E12" s="310" t="n">
        <v>190621.49</v>
      </c>
      <c r="F12" s="310" t="n">
        <v>781148.65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0" t="n">
        <v>5993</v>
      </c>
      <c r="U12" s="9" t="n"/>
      <c r="W12" t="n">
        <v>39197.65</v>
      </c>
      <c r="X12" s="297">
        <f>W12/1.15</f>
        <v/>
      </c>
      <c r="Z12" t="n">
        <v>28633.37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73" t="n">
        <v>153506.39</v>
      </c>
      <c r="C13" s="310" t="n">
        <v>159131.38</v>
      </c>
      <c r="D13" s="310" t="n">
        <v>151341.9</v>
      </c>
      <c r="E13" s="310" t="n">
        <v>166033.59</v>
      </c>
      <c r="F13" s="310" t="n">
        <v>623421.41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0" t="n">
        <v>5060.5</v>
      </c>
      <c r="U13" s="9" t="n"/>
      <c r="W13" t="n">
        <v>20411.09</v>
      </c>
      <c r="X13" s="297">
        <f>W13/1.15</f>
        <v/>
      </c>
      <c r="Z13" t="n">
        <v>31729.51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73" t="n">
        <v>184661.74</v>
      </c>
      <c r="C14" s="310" t="n">
        <v>146426.02</v>
      </c>
      <c r="D14" s="310" t="n">
        <v>141625.92</v>
      </c>
      <c r="E14" s="310" t="n">
        <v>157298.63</v>
      </c>
      <c r="F14" s="310" t="n">
        <v>695357.5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0" t="n">
        <v>5914.9</v>
      </c>
      <c r="U14" s="26" t="n"/>
      <c r="W14" t="n">
        <v>39596.38</v>
      </c>
      <c r="X14" s="297">
        <f>W14/1.15</f>
        <v/>
      </c>
      <c r="Z14" t="n">
        <v>26517</v>
      </c>
      <c r="AA14" s="297">
        <f>Z14/1.15</f>
        <v/>
      </c>
    </row>
    <row r="15" ht="15.6" customHeight="1">
      <c r="A15" s="198" t="inlineStr">
        <is>
          <t>Stellenbosch</t>
        </is>
      </c>
      <c r="B15" s="73" t="n">
        <v>147097.4</v>
      </c>
      <c r="C15" s="310" t="n">
        <v>140341.66</v>
      </c>
      <c r="D15" s="310" t="n">
        <v>107488.05</v>
      </c>
      <c r="E15" s="310" t="n">
        <v>135960.13</v>
      </c>
      <c r="F15" s="310" t="n">
        <v>544479.89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458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0" t="n">
        <v>7507.5</v>
      </c>
      <c r="U15" s="26" t="n"/>
      <c r="W15" t="n">
        <v>14979.87</v>
      </c>
      <c r="X15" s="297">
        <f>W15/1.15</f>
        <v/>
      </c>
      <c r="Z15" t="n">
        <v>26863.64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212042.92</v>
      </c>
      <c r="C5" s="310" t="n">
        <v>149768.1</v>
      </c>
      <c r="D5" s="73" t="n">
        <v>162189.08</v>
      </c>
      <c r="E5" s="310" t="n">
        <v>192137.33</v>
      </c>
      <c r="F5" s="310" t="n">
        <v>137914.62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615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X5</f>
        <v/>
      </c>
      <c r="Q5" s="89">
        <f>SUM(P5/E5)</f>
        <v/>
      </c>
      <c r="R5" s="260" t="n"/>
      <c r="S5" s="89">
        <f>SUM(R5/E5)</f>
        <v/>
      </c>
      <c r="T5" s="312" t="n">
        <v>4083.75</v>
      </c>
      <c r="U5" s="9" t="n"/>
      <c r="W5" s="260" t="n"/>
      <c r="X5" s="297">
        <f>W5/1.15</f>
        <v/>
      </c>
      <c r="Z5" t="n">
        <v>23102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201569.89</v>
      </c>
      <c r="C6" s="310" t="n">
        <v>359955.15</v>
      </c>
      <c r="D6" s="73" t="n">
        <v>237125.78</v>
      </c>
      <c r="E6" s="310" t="n">
        <v>220012.87</v>
      </c>
      <c r="F6" s="310" t="n">
        <v>143154.84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636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X6</f>
        <v/>
      </c>
      <c r="Q6" s="89">
        <f>SUM(P6/E6)</f>
        <v/>
      </c>
      <c r="R6" s="260">
        <f>AA6</f>
        <v/>
      </c>
      <c r="S6" s="89">
        <f>SUM(R6/E6)</f>
        <v/>
      </c>
      <c r="T6" s="312" t="n">
        <v>8694.9</v>
      </c>
      <c r="U6" s="26" t="n"/>
      <c r="W6" t="n">
        <v>47192.81</v>
      </c>
      <c r="X6" s="297">
        <f>W6/1.15</f>
        <v/>
      </c>
      <c r="Z6" t="n">
        <v>20052.5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222418.21</v>
      </c>
      <c r="C7" s="310" t="n">
        <v>248696.5</v>
      </c>
      <c r="D7" s="73" t="n">
        <v>191939.76</v>
      </c>
      <c r="E7" s="310" t="n">
        <v>229781.26</v>
      </c>
      <c r="F7" s="310" t="n">
        <v>173718.42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X7</f>
        <v/>
      </c>
      <c r="Q7" s="89">
        <f>SUM(P7/E7)</f>
        <v/>
      </c>
      <c r="R7" s="260">
        <f>AA7</f>
        <v/>
      </c>
      <c r="S7" s="89">
        <f>SUM(R7/E7)</f>
        <v/>
      </c>
      <c r="T7" s="312" t="n">
        <v>9075</v>
      </c>
      <c r="U7" s="26" t="n"/>
      <c r="W7" t="n">
        <v>39789.67</v>
      </c>
      <c r="X7" s="297">
        <f>W7/1.15</f>
        <v/>
      </c>
      <c r="Z7" t="n">
        <v>6464.5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148590.98</v>
      </c>
      <c r="C8" s="310" t="n">
        <v>139344.52</v>
      </c>
      <c r="D8" s="73" t="n">
        <v>131562.69</v>
      </c>
      <c r="E8" s="310" t="n">
        <v>137255.2</v>
      </c>
      <c r="F8" s="310" t="n">
        <v>99264.3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487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X8</f>
        <v/>
      </c>
      <c r="Q8" s="89">
        <f>SUM(P8/E8)</f>
        <v/>
      </c>
      <c r="R8" s="260">
        <f>AA8</f>
        <v/>
      </c>
      <c r="S8" s="89">
        <f>SUM(R8/E8)</f>
        <v/>
      </c>
      <c r="T8" s="312" t="n">
        <v>7748.5</v>
      </c>
      <c r="U8" s="9" t="n"/>
      <c r="W8" t="n">
        <v>38773.49</v>
      </c>
      <c r="X8" s="297">
        <f>W8/1.15</f>
        <v/>
      </c>
      <c r="Z8" t="n">
        <v>21230.31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212422.03</v>
      </c>
      <c r="C9" s="310" t="n">
        <v>200652.94</v>
      </c>
      <c r="D9" s="73" t="n">
        <v>180434.4</v>
      </c>
      <c r="E9" s="310" t="n">
        <v>193912.73</v>
      </c>
      <c r="F9" s="310" t="n">
        <v>135576.08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712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X9</f>
        <v/>
      </c>
      <c r="Q9" s="89">
        <f>SUM(P9/E9)</f>
        <v/>
      </c>
      <c r="R9" s="260">
        <f>AA9</f>
        <v/>
      </c>
      <c r="S9" s="89">
        <f>SUM(R9/E9)</f>
        <v/>
      </c>
      <c r="T9" s="312" t="n">
        <v>5496.5</v>
      </c>
      <c r="U9" s="26" t="n"/>
      <c r="W9" t="n">
        <v>44357.75</v>
      </c>
      <c r="X9" s="297">
        <f>W9/1.15</f>
        <v/>
      </c>
      <c r="Z9" t="n">
        <v>29277.44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272667.7</v>
      </c>
      <c r="C10" s="310" t="n">
        <v>252827.21</v>
      </c>
      <c r="D10" s="310" t="n">
        <v>201746.45</v>
      </c>
      <c r="E10" s="310" t="n">
        <v>248199.04</v>
      </c>
      <c r="F10" s="310" t="n">
        <v>183064.94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X10</f>
        <v/>
      </c>
      <c r="Q10" s="89">
        <f>SUM(P10/E10)</f>
        <v/>
      </c>
      <c r="R10" s="260">
        <f>AA10</f>
        <v/>
      </c>
      <c r="S10" s="89">
        <f>SUM(R10/E10)</f>
        <v/>
      </c>
      <c r="T10" s="312" t="n">
        <v>12837.58</v>
      </c>
      <c r="U10" s="26" t="n"/>
      <c r="W10" t="n">
        <v>46976.69</v>
      </c>
      <c r="X10" s="297">
        <f>W10/1.15</f>
        <v/>
      </c>
      <c r="Z10" t="n">
        <v>34019.5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152939.37</v>
      </c>
      <c r="C11" s="310" t="n">
        <v>100438.88</v>
      </c>
      <c r="D11" s="310" t="n">
        <v>110116.65</v>
      </c>
      <c r="E11" s="310" t="n">
        <v>131301.91</v>
      </c>
      <c r="F11" s="310" t="n">
        <v>88595.89999999999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509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X11</f>
        <v/>
      </c>
      <c r="Q11" s="89">
        <f>SUM(P11/E11)</f>
        <v/>
      </c>
      <c r="R11" s="260">
        <f>AA11</f>
        <v/>
      </c>
      <c r="S11" s="89">
        <f>SUM(R11/E11)</f>
        <v/>
      </c>
      <c r="T11" s="312" t="n">
        <v>5045</v>
      </c>
      <c r="U11" s="26" t="n"/>
      <c r="W11" t="n">
        <v>49685.65</v>
      </c>
      <c r="X11" s="297">
        <f>W11/1.15</f>
        <v/>
      </c>
      <c r="Z11" t="n">
        <v>31582.34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190621.49</v>
      </c>
      <c r="C12" s="310" t="n">
        <v>190535.34</v>
      </c>
      <c r="D12" s="310" t="n">
        <v>180862.94</v>
      </c>
      <c r="E12" s="310" t="n">
        <v>178544.41</v>
      </c>
      <c r="F12" s="310" t="n">
        <v>118866.49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679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X12</f>
        <v/>
      </c>
      <c r="Q12" s="89">
        <f>SUM(P12/E12)</f>
        <v/>
      </c>
      <c r="R12" s="260">
        <f>AA12</f>
        <v/>
      </c>
      <c r="S12" s="89">
        <f>SUM(R12/E12)</f>
        <v/>
      </c>
      <c r="T12" s="312" t="n">
        <v>5285</v>
      </c>
      <c r="U12" s="9" t="n"/>
      <c r="W12" t="n">
        <v>36848.28</v>
      </c>
      <c r="X12" s="297">
        <f>W12/1.15</f>
        <v/>
      </c>
      <c r="Z12" t="n">
        <v>34426.81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166033.59</v>
      </c>
      <c r="C13" s="310" t="n">
        <v>171996.21</v>
      </c>
      <c r="D13" s="310" t="n">
        <v>144403.3</v>
      </c>
      <c r="E13" s="310" t="n">
        <v>147903.86</v>
      </c>
      <c r="F13" s="310" t="n">
        <v>103253.42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X13</f>
        <v/>
      </c>
      <c r="Q13" s="89">
        <f>SUM(P13/E13)</f>
        <v/>
      </c>
      <c r="R13" s="260">
        <f>AA13</f>
        <v/>
      </c>
      <c r="S13" s="89">
        <f>SUM(R13/E13)</f>
        <v/>
      </c>
      <c r="T13" s="312" t="n">
        <v>4704</v>
      </c>
      <c r="U13" s="9" t="n"/>
      <c r="W13" t="n">
        <v>26624.99</v>
      </c>
      <c r="X13" s="297">
        <f>W13/1.15</f>
        <v/>
      </c>
      <c r="Z13" t="n">
        <v>26531.73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157298.63</v>
      </c>
      <c r="C14" s="310" t="n">
        <v>152135.33</v>
      </c>
      <c r="D14" s="310" t="n">
        <v>141777.65</v>
      </c>
      <c r="E14" s="310" t="n">
        <v>153143.83</v>
      </c>
      <c r="F14" s="310" t="n">
        <v>111920.94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511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X14</f>
        <v/>
      </c>
      <c r="Q14" s="89">
        <f>SUM(P14/E14)</f>
        <v/>
      </c>
      <c r="R14" s="260">
        <f>AA14</f>
        <v/>
      </c>
      <c r="S14" s="89">
        <f>SUM(R14/E14)</f>
        <v/>
      </c>
      <c r="T14" s="312" t="n">
        <v>8460</v>
      </c>
      <c r="U14" s="26" t="n"/>
      <c r="W14" t="n">
        <v>41474.55</v>
      </c>
      <c r="X14" s="297">
        <f>W14/1.15</f>
        <v/>
      </c>
      <c r="Z14" t="n">
        <v>32008.18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135960.13</v>
      </c>
      <c r="C15" s="310" t="n">
        <v>142994.71</v>
      </c>
      <c r="D15" s="310" t="n">
        <v>109444.49</v>
      </c>
      <c r="E15" s="310" t="n">
        <v>113464.22</v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425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X15</f>
        <v/>
      </c>
      <c r="Q15" s="89">
        <f>SUM(P15/E15)</f>
        <v/>
      </c>
      <c r="R15" s="260">
        <f>AA15</f>
        <v/>
      </c>
      <c r="S15" s="89">
        <f>SUM(R15/E15)</f>
        <v/>
      </c>
      <c r="T15" s="312" t="n">
        <v>7694</v>
      </c>
      <c r="U15" s="26" t="n"/>
      <c r="W15" t="n">
        <v>15706.67</v>
      </c>
      <c r="X15" s="297">
        <f>W15/1.15</f>
        <v/>
      </c>
      <c r="Z15" t="n">
        <v>21853.41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192137.33</v>
      </c>
      <c r="C5" s="311" t="n">
        <v>146744.19</v>
      </c>
      <c r="D5" s="311" t="n">
        <v>135359.28</v>
      </c>
      <c r="E5" s="310" t="n">
        <v>212271.82</v>
      </c>
      <c r="F5" s="310" t="n">
        <v>350186.44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672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2" t="n">
        <v>3250.8</v>
      </c>
      <c r="U5" s="9" t="n"/>
      <c r="W5" s="260" t="n"/>
      <c r="X5" s="297">
        <f>W5/1.15</f>
        <v/>
      </c>
      <c r="Z5" t="n">
        <v>21258.5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220012.87</v>
      </c>
      <c r="C6" s="311" t="n">
        <v>326839.88</v>
      </c>
      <c r="D6" s="311" t="n">
        <v>224233.88</v>
      </c>
      <c r="E6" s="310" t="n">
        <v>214856.2</v>
      </c>
      <c r="F6" s="310" t="n">
        <v>358011.04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672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2" t="n">
        <v>10296.55</v>
      </c>
      <c r="U6" s="26" t="n"/>
      <c r="W6" t="n">
        <v>45124.64</v>
      </c>
      <c r="X6" s="297">
        <f>W6/1.15</f>
        <v/>
      </c>
      <c r="Z6" t="n">
        <v>18022.51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229781.26</v>
      </c>
      <c r="C7" s="311" t="n">
        <v>239200.57</v>
      </c>
      <c r="D7" s="311" t="n">
        <v>190960.44</v>
      </c>
      <c r="E7" s="310" t="n">
        <v>225744.14</v>
      </c>
      <c r="F7" s="310" t="n">
        <v>399462.56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2" t="n">
        <v>7776.5</v>
      </c>
      <c r="U7" s="26" t="n"/>
      <c r="W7" t="n">
        <v>46546.46</v>
      </c>
      <c r="X7" s="297">
        <f>W7/1.15</f>
        <v/>
      </c>
      <c r="Z7" t="n">
        <v>4261.96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137255.2</v>
      </c>
      <c r="C8" s="311" t="n">
        <v>124313.82</v>
      </c>
      <c r="D8" s="311" t="n">
        <v>120334.53</v>
      </c>
      <c r="E8" s="310" t="n">
        <v>129458.37</v>
      </c>
      <c r="F8" s="310" t="n">
        <v>228722.67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455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2" t="n">
        <v>5365</v>
      </c>
      <c r="U8" s="9" t="n"/>
      <c r="W8" t="n">
        <v>38647.99</v>
      </c>
      <c r="X8" s="297">
        <f>W8/1.15</f>
        <v/>
      </c>
      <c r="Z8" t="n">
        <v>17150.5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193912.73</v>
      </c>
      <c r="C9" s="311" t="n">
        <v>193711.92</v>
      </c>
      <c r="D9" s="311" t="n">
        <v>165850.01</v>
      </c>
      <c r="E9" s="310" t="n">
        <v>209040.15</v>
      </c>
      <c r="F9" s="310" t="n">
        <v>344616.23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727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2" t="n">
        <v>7207.5</v>
      </c>
      <c r="U9" s="26" t="n"/>
      <c r="W9" t="n">
        <v>53901.11</v>
      </c>
      <c r="X9" s="297">
        <f>W9/1.15</f>
        <v/>
      </c>
      <c r="Z9" t="n">
        <v>25780.55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248199.04</v>
      </c>
      <c r="C10" s="311" t="n">
        <v>229551.86</v>
      </c>
      <c r="D10" s="311" t="n">
        <v>169362.77</v>
      </c>
      <c r="E10" s="310" t="n">
        <v>265191.83</v>
      </c>
      <c r="F10" s="310" t="n">
        <v>448256.77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890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2" t="n">
        <v>14184.73</v>
      </c>
      <c r="U10" s="26" t="n"/>
      <c r="W10" t="n">
        <v>48459.16</v>
      </c>
      <c r="X10" s="297">
        <f>W10/1.15</f>
        <v/>
      </c>
      <c r="Z10" t="n">
        <v>36118.44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131301.91</v>
      </c>
      <c r="C11" s="311" t="n">
        <v>100323.41</v>
      </c>
      <c r="D11" s="311" t="n">
        <v>103027.19</v>
      </c>
      <c r="E11" s="310" t="n">
        <v>133048.22</v>
      </c>
      <c r="F11" s="310" t="n">
        <v>221644.12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511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2" t="n">
        <v>4610.1</v>
      </c>
      <c r="U11" s="26" t="n"/>
      <c r="W11" t="n">
        <v>42239.7</v>
      </c>
      <c r="X11" s="297">
        <f>W11/1.15</f>
        <v/>
      </c>
      <c r="Z11" t="n">
        <v>36941.02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178544.41</v>
      </c>
      <c r="C12" s="311" t="n">
        <v>218690.87</v>
      </c>
      <c r="D12" s="311" t="n">
        <v>154135.11</v>
      </c>
      <c r="E12" s="310" t="n">
        <v>218525.12</v>
      </c>
      <c r="F12" s="310" t="n">
        <v>337391.61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2" t="n">
        <v>5946</v>
      </c>
      <c r="U12" s="9" t="n"/>
      <c r="W12" t="n">
        <v>45077.74</v>
      </c>
      <c r="X12" s="297">
        <f>W12/1.15</f>
        <v/>
      </c>
      <c r="Z12" t="n">
        <v>29917.07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147903.86</v>
      </c>
      <c r="C13" s="311" t="n">
        <v>154325.2</v>
      </c>
      <c r="D13" s="311" t="n">
        <v>146675.66</v>
      </c>
      <c r="E13" s="310" t="n">
        <v>161262.08</v>
      </c>
      <c r="F13" s="310" t="n">
        <v>264515.5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625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2" t="n">
        <v>4374.5</v>
      </c>
      <c r="U13" s="9" t="n"/>
      <c r="W13" t="n">
        <v>22884.73</v>
      </c>
      <c r="X13" s="297">
        <f>W13/1.15</f>
        <v/>
      </c>
      <c r="Z13" t="n">
        <v>30520.72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153143.83</v>
      </c>
      <c r="C14" s="311" t="n">
        <v>143750.61</v>
      </c>
      <c r="D14" s="311" t="n">
        <v>115490.13</v>
      </c>
      <c r="E14" s="310" t="n">
        <v>140651.8</v>
      </c>
      <c r="F14" s="310" t="n">
        <v>252572.74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469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2" t="n">
        <v>5376.2</v>
      </c>
      <c r="U14" s="26" t="n"/>
      <c r="W14" t="n">
        <v>38578.95</v>
      </c>
      <c r="X14" s="297">
        <f>W14/1.15</f>
        <v/>
      </c>
      <c r="Z14" t="n">
        <v>21590.2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113464.22</v>
      </c>
      <c r="C15" s="311" t="n">
        <v>125103.86</v>
      </c>
      <c r="D15" s="311" t="n">
        <v>98117.72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212271.82</v>
      </c>
      <c r="C5" s="310" t="n">
        <v>243243.69</v>
      </c>
      <c r="D5" s="310" t="n">
        <v>159561.32</v>
      </c>
      <c r="E5" s="310" t="n">
        <v>234849.7</v>
      </c>
      <c r="F5" s="310" t="n">
        <v>585036.14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t="n">
        <v>706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1649</v>
      </c>
      <c r="U5" s="9" t="n"/>
      <c r="W5" s="260" t="n"/>
      <c r="X5" s="297">
        <f>W5/1.15</f>
        <v/>
      </c>
      <c r="Z5" t="n">
        <v>25733.5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214856.2</v>
      </c>
      <c r="C6" s="310" t="n">
        <v>285384</v>
      </c>
      <c r="D6" s="310" t="n">
        <v>234988.31</v>
      </c>
      <c r="E6" s="310" t="n">
        <v>216677.99</v>
      </c>
      <c r="F6" s="310" t="n">
        <v>574689.03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t="n">
        <v>667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8772</v>
      </c>
      <c r="U6" s="26" t="n"/>
      <c r="W6" t="n">
        <v>40774.44</v>
      </c>
      <c r="X6" s="297">
        <f>W6/1.15</f>
        <v/>
      </c>
      <c r="Z6" t="n">
        <v>23081.95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225744.14</v>
      </c>
      <c r="C7" s="310" t="n">
        <v>225559.84</v>
      </c>
      <c r="D7" s="310" t="n">
        <v>175928.66</v>
      </c>
      <c r="E7" s="310" t="n">
        <v>193886.77</v>
      </c>
      <c r="F7" s="310" t="n">
        <v>593349.33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t="n">
        <v>599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7537.28</v>
      </c>
      <c r="U7" s="26" t="n"/>
      <c r="W7" t="n">
        <v>43014.98</v>
      </c>
      <c r="X7" s="297">
        <f>W7/1.15</f>
        <v/>
      </c>
      <c r="Z7" t="n">
        <v>4974.77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129458.37</v>
      </c>
      <c r="C8" s="310" t="n">
        <v>115075.28</v>
      </c>
      <c r="D8" s="310" t="n">
        <v>129555.26</v>
      </c>
      <c r="E8" s="310" t="n">
        <v>144551.95</v>
      </c>
      <c r="F8" s="310" t="n">
        <v>373274.62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t="n">
        <v>507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7608.68</v>
      </c>
      <c r="U8" s="9" t="n"/>
      <c r="W8" t="n">
        <v>35537.27</v>
      </c>
      <c r="X8" s="297">
        <f>W8/1.15</f>
        <v/>
      </c>
      <c r="Z8" t="n">
        <v>20565.84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209040.15</v>
      </c>
      <c r="C9" s="310" t="n">
        <v>171225.27</v>
      </c>
      <c r="D9" s="310" t="n">
        <v>173022.38</v>
      </c>
      <c r="E9" s="310" t="n">
        <v>213709.05</v>
      </c>
      <c r="F9" s="310" t="n">
        <v>558325.28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t="n">
        <v>755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9411</v>
      </c>
      <c r="U9" s="26" t="n"/>
      <c r="W9" t="n">
        <v>40761.4</v>
      </c>
      <c r="X9" s="297">
        <f>W9/1.15</f>
        <v/>
      </c>
      <c r="Z9" t="n">
        <v>25608.61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265191.83</v>
      </c>
      <c r="C10" s="310" t="n">
        <v>224151.46</v>
      </c>
      <c r="D10" s="310" t="n">
        <v>177196.01</v>
      </c>
      <c r="E10" s="310" t="n">
        <v>279795.2</v>
      </c>
      <c r="F10" s="310" t="n">
        <v>728051.97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t="n">
        <v>893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11693.6</v>
      </c>
      <c r="U10" s="26" t="n"/>
      <c r="W10" t="n">
        <v>44952.59</v>
      </c>
      <c r="X10" s="297">
        <f>W10/1.15</f>
        <v/>
      </c>
      <c r="Z10" t="n">
        <v>32229.88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133048.22</v>
      </c>
      <c r="C11" s="310" t="n">
        <v>96532.63</v>
      </c>
      <c r="D11" s="310" t="n">
        <v>110851.92</v>
      </c>
      <c r="E11" s="310" t="n">
        <v>167247.23</v>
      </c>
      <c r="F11" s="310" t="n">
        <v>388891.35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4317.8</v>
      </c>
      <c r="U11" s="26" t="n"/>
      <c r="W11" t="n">
        <v>60160.78</v>
      </c>
      <c r="X11" s="297">
        <f>W11/1.15</f>
        <v/>
      </c>
      <c r="Z11" t="n">
        <v>30607.98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218525.12</v>
      </c>
      <c r="C12" s="310" t="n">
        <v>213804.3</v>
      </c>
      <c r="D12" s="310" t="n">
        <v>178660.19</v>
      </c>
      <c r="E12" s="310" t="n">
        <v>218068.93</v>
      </c>
      <c r="F12" s="310" t="n">
        <v>555460.54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9032</v>
      </c>
      <c r="U12" s="9" t="n"/>
      <c r="W12" t="n">
        <v>45117.06</v>
      </c>
      <c r="X12" s="297">
        <f>W12/1.15</f>
        <v/>
      </c>
      <c r="Z12" t="n">
        <v>31246.48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161262.08</v>
      </c>
      <c r="C13" s="310" t="n">
        <v>155970.38</v>
      </c>
      <c r="D13" s="310" t="n">
        <v>148575.59</v>
      </c>
      <c r="E13" s="310" t="n">
        <v>153393.08</v>
      </c>
      <c r="F13" s="310" t="n">
        <v>417908.58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t="n">
        <v>570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4995.5</v>
      </c>
      <c r="U13" s="9" t="n"/>
      <c r="W13" t="n">
        <v>19600.4</v>
      </c>
      <c r="X13" s="297">
        <f>W13/1.15</f>
        <v/>
      </c>
      <c r="Z13" t="n">
        <v>30200.78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140651.8</v>
      </c>
      <c r="C14" s="310" t="n">
        <v>139152.81</v>
      </c>
      <c r="D14" s="310" t="n">
        <v>123051.74</v>
      </c>
      <c r="E14" s="310" t="n">
        <v>147289.82</v>
      </c>
      <c r="F14" s="310" t="n">
        <v>399862.56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t="n">
        <v>457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5686.2</v>
      </c>
      <c r="U14" s="26" t="n"/>
      <c r="W14" t="n">
        <v>16523.37</v>
      </c>
      <c r="X14" s="297">
        <f>W14/1.15</f>
        <v/>
      </c>
      <c r="Z14" t="n">
        <v>36654.4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inlineStr">
        <is>
          <t>Close</t>
        </is>
      </c>
      <c r="C15" s="310" t="n">
        <v>131916.09</v>
      </c>
      <c r="D15" s="310" t="n">
        <v>105029.58</v>
      </c>
      <c r="E15" s="310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234849.7</v>
      </c>
      <c r="C5" s="310" t="n">
        <v>243243.69</v>
      </c>
      <c r="D5" s="310" t="n">
        <v>232193.16</v>
      </c>
      <c r="E5" s="310" t="n">
        <v>244128.01</v>
      </c>
      <c r="F5" s="310" t="n">
        <v>829164.15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747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1114.4</v>
      </c>
      <c r="U5" s="9" t="n"/>
      <c r="W5" s="260" t="n"/>
      <c r="X5" s="297">
        <f>W5/1.15</f>
        <v/>
      </c>
      <c r="Z5" t="n">
        <v>27002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216677.99</v>
      </c>
      <c r="C6" s="310" t="n">
        <v>285384</v>
      </c>
      <c r="D6" s="310" t="n">
        <v>225388.91</v>
      </c>
      <c r="E6" s="310" t="n">
        <v>233368.03</v>
      </c>
      <c r="F6" s="310" t="n">
        <v>808057.0600000001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7873.6</v>
      </c>
      <c r="U6" s="26" t="n"/>
      <c r="W6" t="n">
        <v>47891.79</v>
      </c>
      <c r="X6" s="297">
        <f>W6/1.15</f>
        <v/>
      </c>
      <c r="Z6" t="n">
        <v>25673.69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193886.77</v>
      </c>
      <c r="C7" s="310" t="n">
        <v>225559.84</v>
      </c>
      <c r="D7" s="310" t="n">
        <v>197034.69</v>
      </c>
      <c r="E7" s="310" t="n">
        <v>226256.61</v>
      </c>
      <c r="F7" s="310" t="n">
        <v>819605.9399999999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699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18049</v>
      </c>
      <c r="U7" s="26" t="n"/>
      <c r="W7" t="n">
        <v>41137.38</v>
      </c>
      <c r="X7" s="297">
        <f>W7/1.15</f>
        <v/>
      </c>
      <c r="Z7" t="n">
        <v>9835.690000000001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144551.95</v>
      </c>
      <c r="C8" s="310" t="n">
        <v>115075.28</v>
      </c>
      <c r="D8" s="310" t="n">
        <v>145486.31</v>
      </c>
      <c r="E8" s="310" t="n">
        <v>168556.25</v>
      </c>
      <c r="F8" s="310" t="n">
        <v>541830.87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577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8761.66</v>
      </c>
      <c r="U8" s="9" t="n"/>
      <c r="W8" t="n">
        <v>38677.91</v>
      </c>
      <c r="X8" s="297">
        <f>W8/1.15</f>
        <v/>
      </c>
      <c r="Z8" t="n">
        <v>23830.5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213709.05</v>
      </c>
      <c r="C9" s="310" t="n">
        <v>171225.27</v>
      </c>
      <c r="D9" s="310" t="n">
        <v>171278.52</v>
      </c>
      <c r="E9" s="310" t="n">
        <v>202119.65</v>
      </c>
      <c r="F9" s="310" t="n">
        <v>760444.9300000001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741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8583.5</v>
      </c>
      <c r="U9" s="26" t="n"/>
      <c r="W9" t="n">
        <v>39131.26</v>
      </c>
      <c r="X9" s="297">
        <f>W9/1.15</f>
        <v/>
      </c>
      <c r="Z9" t="n">
        <v>28672.73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279795.2</v>
      </c>
      <c r="C10" s="310" t="n">
        <v>224151.46</v>
      </c>
      <c r="D10" s="310" t="n">
        <v>175937.8</v>
      </c>
      <c r="E10" s="310" t="n">
        <v>248762.9</v>
      </c>
      <c r="F10" s="310" t="n">
        <v>976814.87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10418</v>
      </c>
      <c r="U10" s="26" t="n"/>
      <c r="W10" t="n">
        <v>48809.75</v>
      </c>
      <c r="X10" s="297">
        <f>W10/1.15</f>
        <v/>
      </c>
      <c r="Z10" t="n">
        <v>36503.36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167247.23</v>
      </c>
      <c r="C11" s="310" t="n">
        <v>96532.63</v>
      </c>
      <c r="D11" s="310" t="n">
        <v>116334.7</v>
      </c>
      <c r="E11" s="310" t="n">
        <v>118205.76</v>
      </c>
      <c r="F11" s="310" t="n">
        <v>507097.11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442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4313.45</v>
      </c>
      <c r="U11" s="26" t="n"/>
      <c r="W11" t="n">
        <v>48978.81</v>
      </c>
      <c r="X11" s="297">
        <f>W11/1.15</f>
        <v/>
      </c>
      <c r="Z11" t="n">
        <v>23053.4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218068.93</v>
      </c>
      <c r="C12" s="310" t="n">
        <v>213804.3</v>
      </c>
      <c r="D12" s="310" t="n">
        <v>181897.73</v>
      </c>
      <c r="E12" s="310" t="n">
        <v>211345.95</v>
      </c>
      <c r="F12" s="310" t="n">
        <v>766806.49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770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7111.5</v>
      </c>
      <c r="U12" s="9" t="n"/>
      <c r="W12" t="n">
        <v>42542.42</v>
      </c>
      <c r="X12" s="297">
        <f>W12/1.15</f>
        <v/>
      </c>
      <c r="Z12" t="n">
        <v>33906.46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153393.08</v>
      </c>
      <c r="C13" s="310" t="n">
        <v>155970.38</v>
      </c>
      <c r="D13" s="310" t="n">
        <v>148055.02</v>
      </c>
      <c r="E13" s="310" t="n">
        <v>172286.55</v>
      </c>
      <c r="F13" s="310" t="n">
        <v>590195.13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630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3983.32</v>
      </c>
      <c r="U13" s="9" t="n"/>
      <c r="W13" t="n">
        <v>15416.74</v>
      </c>
      <c r="X13" s="297">
        <f>W13/1.15</f>
        <v/>
      </c>
      <c r="Z13" t="n">
        <v>32643.92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147289.82</v>
      </c>
      <c r="C14" s="310" t="n">
        <v>139152.81</v>
      </c>
      <c r="D14" s="310" t="n">
        <v>119605.31</v>
      </c>
      <c r="E14" s="314" t="n">
        <v>158387.9</v>
      </c>
      <c r="F14" s="310" t="n">
        <v>558250.46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6386.5</v>
      </c>
      <c r="U14" s="26" t="n"/>
      <c r="W14" t="n">
        <v>38991.96</v>
      </c>
      <c r="X14" s="297">
        <f>W14/1.15</f>
        <v/>
      </c>
      <c r="Z14" t="n">
        <v>17057.25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131916.09</v>
      </c>
      <c r="D15" s="310" t="n">
        <v>100609.06</v>
      </c>
      <c r="E15" s="313" t="inlineStr">
        <is>
          <t>close</t>
        </is>
      </c>
      <c r="F15" s="310" t="n">
        <v>74982.3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/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/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09" t="n"/>
      <c r="U4" s="24" t="n"/>
    </row>
    <row r="5" ht="15.6" customHeight="1">
      <c r="A5" s="198" t="inlineStr">
        <is>
          <t>Hartenbos</t>
        </is>
      </c>
      <c r="B5" s="310" t="n">
        <v>244128.01</v>
      </c>
      <c r="C5" s="310" t="n">
        <v>146491.63</v>
      </c>
      <c r="D5" s="310" t="n">
        <v>217130.21</v>
      </c>
      <c r="E5" s="310" t="n">
        <v>335499.3</v>
      </c>
      <c r="F5" s="310" t="n">
        <v>143489.84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999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1805.75</v>
      </c>
      <c r="U5" s="9" t="n"/>
      <c r="W5" s="260" t="n"/>
      <c r="X5" s="297">
        <f>W5/1.15</f>
        <v/>
      </c>
      <c r="Z5" t="n">
        <v>35008.5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233368.03</v>
      </c>
      <c r="C6" s="310" t="n">
        <v>310363.95</v>
      </c>
      <c r="D6" s="310" t="n">
        <v>241827.03</v>
      </c>
      <c r="E6" s="310" t="n">
        <v>261348.81</v>
      </c>
      <c r="F6" s="310" t="n">
        <v>84193.49000000001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824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9368.98</v>
      </c>
      <c r="U6" s="26" t="n"/>
      <c r="W6" t="n">
        <v>65199.85</v>
      </c>
      <c r="X6" s="297">
        <f>W6/1.15</f>
        <v/>
      </c>
      <c r="Z6" t="n">
        <v>23976.13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226256.61</v>
      </c>
      <c r="C7" s="310" t="n">
        <v>247392.33</v>
      </c>
      <c r="D7" s="310" t="n">
        <v>222289.96</v>
      </c>
      <c r="E7" s="310" t="n">
        <v>209389.69</v>
      </c>
      <c r="F7" s="310" t="n">
        <v>45285.65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640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9294.280000000001</v>
      </c>
      <c r="U7" s="26" t="n"/>
      <c r="W7" t="n">
        <v>52529.1</v>
      </c>
      <c r="X7" s="297">
        <f>W7/1.15</f>
        <v/>
      </c>
      <c r="Z7" t="n">
        <v>2485.44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168556.25</v>
      </c>
      <c r="C8" s="310" t="n">
        <v>124737.19</v>
      </c>
      <c r="D8" s="310" t="n">
        <v>142521.04</v>
      </c>
      <c r="E8" s="310" t="n">
        <v>181834.26</v>
      </c>
      <c r="F8" s="310" t="n">
        <v>63163.49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638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6765.84</v>
      </c>
      <c r="U8" s="9" t="n"/>
      <c r="W8" t="n">
        <v>63629.09</v>
      </c>
      <c r="X8" s="297">
        <f>W8/1.15</f>
        <v/>
      </c>
      <c r="Z8" t="n">
        <v>6765.84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202119.65</v>
      </c>
      <c r="C9" s="310" t="n">
        <v>203625.52</v>
      </c>
      <c r="D9" s="310" t="n">
        <v>196532.85</v>
      </c>
      <c r="E9" s="310" t="n">
        <v>221588.5</v>
      </c>
      <c r="F9" s="310" t="n">
        <v>64707.66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796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8651.85</v>
      </c>
      <c r="U9" s="26" t="n"/>
      <c r="W9" t="n">
        <v>39147.94</v>
      </c>
      <c r="X9" s="297">
        <f>W9/1.15</f>
        <v/>
      </c>
      <c r="Z9" t="n">
        <v>28752.33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248762.9</v>
      </c>
      <c r="C10" s="310" t="n">
        <v>220441.59</v>
      </c>
      <c r="D10" s="310" t="n">
        <v>195010.91</v>
      </c>
      <c r="E10" s="310" t="n">
        <v>287917.17</v>
      </c>
      <c r="F10" s="310" t="n">
        <v>99588.58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1024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13947</v>
      </c>
      <c r="U10" s="26" t="n"/>
      <c r="W10" t="n">
        <v>49805.69</v>
      </c>
      <c r="X10" s="297">
        <f>W10/1.15</f>
        <v/>
      </c>
      <c r="Z10" t="n">
        <v>34928.33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118205.76</v>
      </c>
      <c r="C11" s="310" t="n">
        <v>107107.59</v>
      </c>
      <c r="D11" s="310" t="n">
        <v>130492.05</v>
      </c>
      <c r="E11" s="310" t="n">
        <v>160500.8</v>
      </c>
      <c r="F11" s="310" t="n">
        <v>55987.09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541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3612.5</v>
      </c>
      <c r="U11" s="26" t="n"/>
      <c r="W11" t="n">
        <v>61326.51</v>
      </c>
      <c r="X11" s="297">
        <f>W11/1.15</f>
        <v/>
      </c>
      <c r="Z11" t="n">
        <v>25318.84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211345.95</v>
      </c>
      <c r="C12" s="310" t="n">
        <v>187465.36</v>
      </c>
      <c r="D12" s="310" t="n">
        <v>177000.68</v>
      </c>
      <c r="E12" s="310" t="n">
        <v>189395.77</v>
      </c>
      <c r="F12" s="310" t="n">
        <v>28783.88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720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7202</v>
      </c>
      <c r="U12" s="9" t="n"/>
      <c r="W12" t="n">
        <v>38328.37</v>
      </c>
      <c r="X12" s="297">
        <f>W12/1.15</f>
        <v/>
      </c>
      <c r="Z12" t="n">
        <v>33198.94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172286.55</v>
      </c>
      <c r="C13" s="310" t="n">
        <v>161171.99</v>
      </c>
      <c r="D13" s="310" t="n">
        <v>174402.94</v>
      </c>
      <c r="E13" s="310" t="n">
        <v>154435.76</v>
      </c>
      <c r="F13" s="310" t="n">
        <v>55761.95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580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4792.5</v>
      </c>
      <c r="U13" s="9" t="n"/>
      <c r="W13" t="n">
        <v>20668.17</v>
      </c>
      <c r="X13" s="297">
        <f>W13/1.15</f>
        <v/>
      </c>
      <c r="Z13" t="n">
        <v>29353.4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0" t="n">
        <v>158387.9</v>
      </c>
      <c r="C14" s="310" t="n">
        <v>147789.66</v>
      </c>
      <c r="D14" s="310" t="n">
        <v>135563.96</v>
      </c>
      <c r="E14" s="314" t="n">
        <v>146413.9</v>
      </c>
      <c r="F14" s="310" t="n">
        <v>22310.6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4840.5</v>
      </c>
      <c r="U14" s="26" t="n"/>
      <c r="W14" t="n">
        <v>37142.62</v>
      </c>
      <c r="X14" s="297">
        <f>W14/1.15</f>
        <v/>
      </c>
      <c r="Z14" t="n">
        <v>29397.14</v>
      </c>
      <c r="AA14" s="297">
        <f>Z14/1.15</f>
        <v/>
      </c>
    </row>
    <row r="15" ht="15.6" customHeight="1">
      <c r="A15" s="198" t="inlineStr">
        <is>
          <t>Stellenbosch</t>
        </is>
      </c>
      <c r="B15" s="313" t="inlineStr">
        <is>
          <t>close</t>
        </is>
      </c>
      <c r="C15" s="310" t="n">
        <v>145869.65</v>
      </c>
      <c r="D15" s="310" t="n">
        <v>132018.34</v>
      </c>
      <c r="E15" s="311" t="n">
        <v>57793.08</v>
      </c>
      <c r="F15" s="310" t="n">
        <v>30901.49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2" t="n">
        <v>0</v>
      </c>
      <c r="U15" s="26" t="n"/>
      <c r="X15" s="297">
        <f>W15/1.15</f>
        <v/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335499.3</v>
      </c>
      <c r="C5" s="310" t="n">
        <v>163134.86</v>
      </c>
      <c r="D5" s="310" t="n">
        <v>294560.02</v>
      </c>
      <c r="E5" s="310" t="n">
        <v>418554.29</v>
      </c>
      <c r="F5" s="310" t="n">
        <v>590895.95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1245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3175.8</v>
      </c>
      <c r="U5" s="9" t="n"/>
      <c r="W5" s="260" t="n"/>
      <c r="X5" s="297">
        <f>W5/1.15</f>
        <v/>
      </c>
      <c r="Z5" t="n">
        <v>49026.2</v>
      </c>
      <c r="AA5" s="297">
        <f>Z5/1.15</f>
        <v/>
      </c>
    </row>
    <row r="6" ht="16.2" customHeight="1" thickBot="1">
      <c r="A6" s="409" t="inlineStr">
        <is>
          <t>Eagles Landing</t>
        </is>
      </c>
      <c r="B6" s="310" t="n">
        <v>261348.81</v>
      </c>
      <c r="C6" s="310" t="n">
        <v>330816.72</v>
      </c>
      <c r="D6" s="310" t="n">
        <v>266901.91</v>
      </c>
      <c r="E6" s="310" t="n">
        <v>239054.84</v>
      </c>
      <c r="F6" s="310" t="n">
        <v>340705.43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8893.780000000001</v>
      </c>
      <c r="U6" s="26" t="n"/>
      <c r="W6" t="n">
        <v>55693.21</v>
      </c>
      <c r="X6" s="297">
        <f>W6/1.15</f>
        <v/>
      </c>
      <c r="Z6" t="n">
        <v>21090.5</v>
      </c>
      <c r="AA6" s="297">
        <f>Z6/1.15</f>
        <v/>
      </c>
    </row>
    <row r="7" ht="16.5" customHeight="1">
      <c r="A7" s="408" t="inlineStr">
        <is>
          <t>Irene Village</t>
        </is>
      </c>
      <c r="B7" s="310" t="n">
        <v>209389.69</v>
      </c>
      <c r="C7" s="310" t="n">
        <v>234693.29</v>
      </c>
      <c r="D7" s="310" t="n">
        <v>239454.65</v>
      </c>
      <c r="E7" s="310" t="n">
        <v>264026.69</v>
      </c>
      <c r="F7" s="310" t="n">
        <v>370735.79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811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22041.97</v>
      </c>
      <c r="U7" s="26" t="n"/>
      <c r="W7" t="n">
        <v>48932.59</v>
      </c>
      <c r="X7" s="297">
        <f>W7/1.15</f>
        <v/>
      </c>
      <c r="Z7" t="n">
        <v>11290.44</v>
      </c>
      <c r="AA7" s="297">
        <f>Z7/1.15</f>
        <v/>
      </c>
    </row>
    <row r="8" ht="15.6" customHeight="1">
      <c r="A8" s="198" t="inlineStr">
        <is>
          <t>Kyalami Corner</t>
        </is>
      </c>
      <c r="B8" s="310" t="n">
        <v>181834.26</v>
      </c>
      <c r="C8" s="310" t="n">
        <v>113246.57</v>
      </c>
      <c r="D8" s="310" t="n">
        <v>154455.85</v>
      </c>
      <c r="E8" s="310" t="n">
        <v>163139.71</v>
      </c>
      <c r="F8" s="310" t="n">
        <v>236657.96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586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8169.58</v>
      </c>
      <c r="U8" s="9" t="n"/>
      <c r="W8" t="n">
        <v>55706.55</v>
      </c>
      <c r="X8" s="297">
        <f>W8/1.15</f>
        <v/>
      </c>
      <c r="Z8" t="n">
        <v>23477.4</v>
      </c>
      <c r="AA8" s="297">
        <f>Z8/1.15</f>
        <v/>
      </c>
    </row>
    <row r="9" ht="15.6" customHeight="1">
      <c r="A9" s="198" t="inlineStr">
        <is>
          <t>Lynnwood</t>
        </is>
      </c>
      <c r="B9" s="310" t="n">
        <v>221588.5</v>
      </c>
      <c r="C9" s="310" t="n">
        <v>196053.8</v>
      </c>
      <c r="D9" s="310" t="n">
        <v>185099.2</v>
      </c>
      <c r="E9" s="310" t="n">
        <v>203154.9</v>
      </c>
      <c r="F9" s="310" t="n">
        <v>285267.28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761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7273</v>
      </c>
      <c r="U9" s="26" t="n"/>
      <c r="W9" t="n">
        <v>41858.28</v>
      </c>
      <c r="X9" s="297">
        <f>W9/1.15</f>
        <v/>
      </c>
      <c r="Z9" t="n">
        <v>23160.81</v>
      </c>
      <c r="AA9" s="297">
        <f>Z9/1.15</f>
        <v/>
      </c>
    </row>
    <row r="10" ht="15.6" customHeight="1">
      <c r="A10" s="409" t="inlineStr">
        <is>
          <t>Melrose Arch</t>
        </is>
      </c>
      <c r="B10" s="310" t="n">
        <v>287917.17</v>
      </c>
      <c r="C10" s="310" t="n">
        <v>178156.7</v>
      </c>
      <c r="D10" s="310" t="n">
        <v>186940.81</v>
      </c>
      <c r="E10" s="310" t="n">
        <v>247618.57</v>
      </c>
      <c r="F10" s="310" t="n">
        <v>366499.8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906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13841.85</v>
      </c>
      <c r="U10" s="26" t="n"/>
      <c r="W10" t="n">
        <v>46863.73</v>
      </c>
      <c r="X10" s="297">
        <f>W10/1.15</f>
        <v/>
      </c>
      <c r="Z10" t="n">
        <v>38687.77</v>
      </c>
      <c r="AA10" s="297">
        <f>Z10/1.15</f>
        <v/>
      </c>
    </row>
    <row r="11" ht="15.6" customHeight="1">
      <c r="A11" s="409" t="inlineStr">
        <is>
          <t>Melville</t>
        </is>
      </c>
      <c r="B11" s="310" t="n">
        <v>160500.8</v>
      </c>
      <c r="C11" s="310" t="n">
        <v>104958.15</v>
      </c>
      <c r="D11" s="310" t="n">
        <v>119671.55</v>
      </c>
      <c r="E11" s="310" t="n">
        <v>142414.61</v>
      </c>
      <c r="F11" s="310" t="n">
        <v>213403.19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575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4545</v>
      </c>
      <c r="U11" s="26" t="n"/>
      <c r="W11" t="n">
        <v>74150.50999999999</v>
      </c>
      <c r="X11" s="297">
        <f>W11/1.15</f>
        <v/>
      </c>
      <c r="Z11" t="n">
        <v>20077.03</v>
      </c>
      <c r="AA11" s="297">
        <f>Z11/1.15</f>
        <v/>
      </c>
    </row>
    <row r="12" ht="15.6" customHeight="1">
      <c r="A12" s="198" t="inlineStr">
        <is>
          <t>Cambridge Crossing</t>
        </is>
      </c>
      <c r="B12" s="310" t="n">
        <v>189395.77</v>
      </c>
      <c r="C12" s="310" t="n">
        <v>201796.54</v>
      </c>
      <c r="D12" s="310" t="n">
        <v>181127.08</v>
      </c>
      <c r="E12" s="310" t="n">
        <v>214740.55</v>
      </c>
      <c r="F12" s="310" t="n">
        <v>282169.75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7606</v>
      </c>
      <c r="U12" s="9" t="n"/>
      <c r="W12" t="n">
        <v>49329.32</v>
      </c>
      <c r="X12" s="297">
        <f>W12/1.15</f>
        <v/>
      </c>
      <c r="Z12" t="n">
        <v>37554.8</v>
      </c>
      <c r="AA12" s="297">
        <f>Z12/1.15</f>
        <v/>
      </c>
    </row>
    <row r="13" ht="16.2" customHeight="1" thickBot="1">
      <c r="A13" s="199" t="inlineStr">
        <is>
          <t>Queenswood</t>
        </is>
      </c>
      <c r="B13" s="310" t="n">
        <v>154435.76</v>
      </c>
      <c r="C13" s="310" t="n">
        <v>148910.86</v>
      </c>
      <c r="D13" s="310" t="n">
        <v>151769.5</v>
      </c>
      <c r="E13" s="310" t="n">
        <v>184125.86</v>
      </c>
      <c r="F13" s="310" t="n">
        <v>256790.24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688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4851.5</v>
      </c>
      <c r="U13" s="9" t="n"/>
      <c r="W13" t="n">
        <v>28282.63</v>
      </c>
      <c r="X13" s="297">
        <f>W13/1.15</f>
        <v/>
      </c>
      <c r="Z13" t="n">
        <v>31564.64</v>
      </c>
      <c r="AA13" s="297">
        <f>Z13/1.15</f>
        <v/>
      </c>
    </row>
    <row r="14" ht="15.6" customHeight="1">
      <c r="A14" s="409" t="inlineStr">
        <is>
          <t xml:space="preserve">Waterkloof </t>
        </is>
      </c>
      <c r="B14" s="314" t="n">
        <v>146413.9</v>
      </c>
      <c r="C14" s="310" t="n">
        <v>152374.91</v>
      </c>
      <c r="D14" s="310" t="n">
        <v>147008.96</v>
      </c>
      <c r="E14" s="310" t="n">
        <v>163402.9</v>
      </c>
      <c r="F14" s="310" t="n">
        <v>223230.19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6058.25</v>
      </c>
      <c r="U14" s="26" t="n"/>
      <c r="W14" t="n">
        <v>48893.66</v>
      </c>
      <c r="X14" s="297">
        <f>W14/1.15</f>
        <v/>
      </c>
      <c r="Z14" t="n">
        <v>18653.5</v>
      </c>
      <c r="AA14" s="297">
        <f>Z14/1.15</f>
        <v/>
      </c>
    </row>
    <row r="15" ht="15.6" customHeight="1">
      <c r="A15" s="198" t="inlineStr">
        <is>
          <t>Stellenbosch</t>
        </is>
      </c>
      <c r="B15" s="310" t="n">
        <v>57793.08</v>
      </c>
      <c r="C15" s="310" t="n">
        <v>132859.36</v>
      </c>
      <c r="D15" s="310" t="n">
        <v>115856.57</v>
      </c>
      <c r="E15" s="310" t="n">
        <v>129718</v>
      </c>
      <c r="F15" s="310" t="n">
        <v>174507.8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490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8166.3</v>
      </c>
      <c r="U15" s="26" t="n"/>
      <c r="W15" t="n">
        <v>16588.63</v>
      </c>
      <c r="X15" s="297">
        <f>W15/1.15</f>
        <v/>
      </c>
      <c r="Z15" t="n">
        <v>17909.19</v>
      </c>
      <c r="AA15" s="297">
        <f>Z15/1.15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418554.29</v>
      </c>
      <c r="C5" s="310" t="n">
        <v>180048.8</v>
      </c>
      <c r="D5" s="310" t="n">
        <v>172063.63</v>
      </c>
      <c r="E5" s="310" t="n">
        <v>265670.72</v>
      </c>
      <c r="F5" s="310" t="n">
        <v>827714.85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801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2019.35</v>
      </c>
      <c r="U5" s="9" t="n"/>
      <c r="W5" s="260" t="n"/>
      <c r="X5" s="297">
        <f>W5/1.15</f>
        <v/>
      </c>
      <c r="Z5" s="238" t="n">
        <v>22954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239054.84</v>
      </c>
      <c r="C6" s="310" t="n">
        <v>325751.75</v>
      </c>
      <c r="D6" s="310" t="n">
        <v>235839.13</v>
      </c>
      <c r="E6" s="310" t="n">
        <v>202954.8</v>
      </c>
      <c r="F6" s="310" t="n">
        <v>526203.13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679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9903.940000000001</v>
      </c>
      <c r="U6" s="26" t="n"/>
      <c r="W6" t="n">
        <v>55616.16</v>
      </c>
      <c r="X6" s="297">
        <f>W6/1.15</f>
        <v/>
      </c>
      <c r="Z6" s="238" t="n">
        <v>17202.6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264026.69</v>
      </c>
      <c r="C7" s="310" t="n">
        <v>220957.5</v>
      </c>
      <c r="D7" s="310" t="n">
        <v>210772.29</v>
      </c>
      <c r="E7" s="310" t="n">
        <v>215927.33</v>
      </c>
      <c r="F7" s="310" t="n">
        <v>568570.34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701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15777.49</v>
      </c>
      <c r="U7" s="26" t="n"/>
      <c r="W7" t="n">
        <v>43307.92</v>
      </c>
      <c r="X7" s="297">
        <f>W7/1.15</f>
        <v/>
      </c>
      <c r="Z7" s="238" t="n">
        <v>6954.77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163139.71</v>
      </c>
      <c r="C8" s="310" t="n">
        <v>117244.55</v>
      </c>
      <c r="D8" s="310" t="n">
        <v>153694.29</v>
      </c>
      <c r="E8" s="310" t="n">
        <v>143769.19</v>
      </c>
      <c r="F8" s="310" t="n">
        <v>370072.39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526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10620.61</v>
      </c>
      <c r="U8" s="9" t="n"/>
      <c r="W8" t="n">
        <v>49908.53</v>
      </c>
      <c r="X8" s="297">
        <f>W8/1.15</f>
        <v/>
      </c>
      <c r="Z8" s="238" t="n">
        <v>21206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203154.9</v>
      </c>
      <c r="C9" s="310" t="n">
        <v>204599.91</v>
      </c>
      <c r="D9" s="310" t="n">
        <v>184530.42</v>
      </c>
      <c r="E9" s="310" t="n">
        <v>198012.81</v>
      </c>
      <c r="F9" s="310" t="n">
        <v>465875.37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753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6698.5</v>
      </c>
      <c r="U9" s="26" t="n"/>
      <c r="W9" t="n">
        <v>47377.02</v>
      </c>
      <c r="X9" s="297">
        <f>W9/1.15</f>
        <v/>
      </c>
      <c r="Z9" s="238" t="n">
        <v>26362.12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247618.57</v>
      </c>
      <c r="C10" s="310" t="n">
        <v>212391.65</v>
      </c>
      <c r="D10" s="310" t="n">
        <v>168351.72</v>
      </c>
      <c r="E10" s="310" t="n">
        <v>223354.08</v>
      </c>
      <c r="F10" s="310" t="n">
        <v>570561.23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795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11607.23</v>
      </c>
      <c r="U10" s="26" t="n"/>
      <c r="W10" t="n">
        <v>42753.7</v>
      </c>
      <c r="X10" s="297">
        <f>W10/1.15</f>
        <v/>
      </c>
      <c r="Z10" s="238" t="n">
        <v>30396.55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142414.61</v>
      </c>
      <c r="C11" s="310" t="n">
        <v>108340.48</v>
      </c>
      <c r="D11" s="310" t="n">
        <v>123446.2</v>
      </c>
      <c r="E11" s="310" t="n">
        <v>146513.73</v>
      </c>
      <c r="F11" s="310" t="n">
        <v>344915.43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3419.34</v>
      </c>
      <c r="U11" s="26" t="n"/>
      <c r="W11" t="n">
        <v>57664.54</v>
      </c>
      <c r="X11" s="297">
        <f>W11/1.15</f>
        <v/>
      </c>
      <c r="Z11" s="238" t="n">
        <v>34291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214740.55</v>
      </c>
      <c r="C12" s="310" t="n">
        <v>219205.08</v>
      </c>
      <c r="D12" s="310" t="n">
        <v>180670.32</v>
      </c>
      <c r="E12" s="310" t="n">
        <v>206967.02</v>
      </c>
      <c r="F12" s="310" t="n">
        <v>472044.36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741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5084</v>
      </c>
      <c r="U12" s="9" t="n"/>
      <c r="W12" t="n">
        <v>50135.41</v>
      </c>
      <c r="X12" s="297">
        <f>W12/1.15</f>
        <v/>
      </c>
      <c r="Z12" s="238" t="n">
        <v>31812.02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184125.86</v>
      </c>
      <c r="C13" s="310" t="n">
        <v>152946.78</v>
      </c>
      <c r="D13" s="310" t="n">
        <v>150727.65</v>
      </c>
      <c r="E13" s="310" t="n">
        <v>189315.43</v>
      </c>
      <c r="F13" s="310" t="n">
        <v>429203.24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716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6735.5</v>
      </c>
      <c r="U13" s="9" t="n"/>
      <c r="W13" t="n">
        <v>29593.83</v>
      </c>
      <c r="X13" s="297">
        <f>W13/1.15</f>
        <v/>
      </c>
      <c r="Z13" s="238" t="n">
        <v>33224.77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163402.9</v>
      </c>
      <c r="C14" s="310" t="n">
        <v>138165.29</v>
      </c>
      <c r="D14" s="310" t="n">
        <v>139222.34</v>
      </c>
      <c r="E14" s="310" t="n">
        <v>151030.05</v>
      </c>
      <c r="F14" s="310" t="n">
        <v>354333.6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546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5650.47</v>
      </c>
      <c r="U14" s="26" t="n"/>
      <c r="W14" t="n">
        <v>48641.45</v>
      </c>
      <c r="X14" s="297">
        <f>W14/1.15</f>
        <v/>
      </c>
      <c r="Z14" s="238" t="n">
        <v>18380.42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129718</v>
      </c>
      <c r="C15" s="310" t="n">
        <v>144094.25</v>
      </c>
      <c r="D15" s="310" t="n">
        <v>109318.99</v>
      </c>
      <c r="E15" s="310" t="n">
        <v>150896.97</v>
      </c>
      <c r="F15" s="310" t="n">
        <v>311516.46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583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10784</v>
      </c>
      <c r="U15" s="26" t="n"/>
      <c r="W15" t="n">
        <v>26957.42</v>
      </c>
      <c r="X15" s="297">
        <f>W15/1.15</f>
        <v/>
      </c>
      <c r="Z15" s="238" t="n">
        <v>19568.37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5" t="n"/>
      <c r="U4" s="24" t="n"/>
    </row>
    <row r="5" ht="15.6" customHeight="1">
      <c r="A5" s="198" t="inlineStr">
        <is>
          <t>Hartenbos</t>
        </is>
      </c>
      <c r="B5" s="310" t="n">
        <v>265670.72</v>
      </c>
      <c r="C5" s="310" t="n">
        <v>142533.66</v>
      </c>
      <c r="D5" s="310" t="n">
        <v>163321.62</v>
      </c>
      <c r="E5" s="310" t="n">
        <v>231222.07</v>
      </c>
      <c r="F5" s="310" t="n">
        <v>1058936.92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790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2185.15</v>
      </c>
      <c r="U5" s="9" t="n"/>
      <c r="W5" s="260" t="n"/>
      <c r="X5" s="297">
        <f>W5/1.15</f>
        <v/>
      </c>
      <c r="Z5" s="238" t="n">
        <v>23808.5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202954.8</v>
      </c>
      <c r="C6" s="310" t="n">
        <v>315240.35</v>
      </c>
      <c r="D6" s="310" t="n">
        <v>233857.32</v>
      </c>
      <c r="E6" s="310" t="n">
        <v>204863.42</v>
      </c>
      <c r="F6" s="310" t="n">
        <v>731066.55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9206.75</v>
      </c>
      <c r="U6" s="26" t="n"/>
      <c r="W6" t="n">
        <v>49706.99</v>
      </c>
      <c r="X6" s="297">
        <f>W6/1.15</f>
        <v/>
      </c>
      <c r="Z6" s="238" t="n">
        <v>20103.16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215927.33</v>
      </c>
      <c r="C7" s="310" t="n">
        <v>235865.33</v>
      </c>
      <c r="D7" s="310" t="n">
        <v>202623.52</v>
      </c>
      <c r="E7" s="310" t="n">
        <v>212169.11</v>
      </c>
      <c r="F7" s="310" t="n">
        <v>780739.45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677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11628.17</v>
      </c>
      <c r="U7" s="26" t="n"/>
      <c r="W7" t="n">
        <v>47538.21</v>
      </c>
      <c r="X7" s="297">
        <f>W7/1.15</f>
        <v/>
      </c>
      <c r="Z7" s="238" t="n">
        <v>2129.96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143769.19</v>
      </c>
      <c r="C8" s="310" t="n">
        <v>39018.33</v>
      </c>
      <c r="D8" s="310" t="n">
        <v>142695.09</v>
      </c>
      <c r="E8" s="310" t="n">
        <v>126392.36</v>
      </c>
      <c r="F8" s="310" t="n">
        <v>496464.75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470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6966.03</v>
      </c>
      <c r="U8" s="9" t="n"/>
      <c r="W8" t="n">
        <v>47612</v>
      </c>
      <c r="X8" s="297">
        <f>W8/1.15</f>
        <v/>
      </c>
      <c r="Z8" s="238" t="n">
        <v>22653.3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198012.81</v>
      </c>
      <c r="C9" s="310" t="n">
        <v>194970.43</v>
      </c>
      <c r="D9" s="310" t="n">
        <v>206050.19</v>
      </c>
      <c r="E9" s="310" t="n">
        <v>189835.14</v>
      </c>
      <c r="F9" s="310" t="n">
        <v>655710.51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736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8975.5</v>
      </c>
      <c r="U9" s="26" t="n"/>
      <c r="W9" t="n">
        <v>42715.09</v>
      </c>
      <c r="X9" s="297">
        <f>W9/1.15</f>
        <v/>
      </c>
      <c r="Z9" s="238" t="n">
        <v>20907.12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223354.08</v>
      </c>
      <c r="C10" s="310" t="n">
        <v>214438.21</v>
      </c>
      <c r="D10" s="310" t="n">
        <v>214773.59</v>
      </c>
      <c r="E10" s="310" t="n">
        <v>214335.12</v>
      </c>
      <c r="F10" s="310" t="n">
        <v>784896.35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730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12131.95</v>
      </c>
      <c r="U10" s="26" t="n"/>
      <c r="W10" t="n">
        <v>43750.48</v>
      </c>
      <c r="X10" s="297">
        <f>W10/1.15</f>
        <v/>
      </c>
      <c r="Z10" s="238" t="n">
        <v>21019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146513.73</v>
      </c>
      <c r="C11" s="310" t="n">
        <v>120214.26</v>
      </c>
      <c r="D11" s="310" t="n">
        <v>127214.41</v>
      </c>
      <c r="E11" s="310" t="n">
        <v>142345.79</v>
      </c>
      <c r="F11" s="310" t="n">
        <v>487261.22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480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6859.25</v>
      </c>
      <c r="U11" s="26" t="n"/>
      <c r="W11" t="n">
        <v>42619.41</v>
      </c>
      <c r="X11" s="297">
        <f>W11/1.15</f>
        <v/>
      </c>
      <c r="Z11" s="238" t="n">
        <v>24359.01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206967.02</v>
      </c>
      <c r="C12" s="310" t="n">
        <v>227123.11</v>
      </c>
      <c r="D12" s="310" t="n">
        <v>194587.65</v>
      </c>
      <c r="E12" s="310" t="n">
        <v>211661.8</v>
      </c>
      <c r="F12" s="310" t="n">
        <v>683706.16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780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7761.9</v>
      </c>
      <c r="U12" s="9" t="n"/>
      <c r="W12" t="n">
        <v>38224.7</v>
      </c>
      <c r="X12" s="297">
        <f>W12/1.15</f>
        <v/>
      </c>
      <c r="Z12" s="238" t="n">
        <v>42717.68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189315.43</v>
      </c>
      <c r="C13" s="310" t="n">
        <v>161595.07</v>
      </c>
      <c r="D13" s="310" t="n">
        <v>164997.15</v>
      </c>
      <c r="E13" s="310" t="n">
        <v>159981.17</v>
      </c>
      <c r="F13" s="310" t="n">
        <v>589184.41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604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6611.42</v>
      </c>
      <c r="U13" s="9" t="n"/>
      <c r="W13" t="n">
        <v>19751.47</v>
      </c>
      <c r="X13" s="297">
        <f>W13/1.15</f>
        <v/>
      </c>
      <c r="Z13" s="238" t="n">
        <v>30842.06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151030.05</v>
      </c>
      <c r="C14" s="310" t="n">
        <v>136515.1</v>
      </c>
      <c r="D14" s="310" t="n">
        <v>133813.39</v>
      </c>
      <c r="E14" s="310" t="n">
        <v>167241.45</v>
      </c>
      <c r="F14" s="310" t="n">
        <v>521575.05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8590.5</v>
      </c>
      <c r="U14" s="26" t="n"/>
      <c r="W14" t="n">
        <v>50271.21</v>
      </c>
      <c r="X14" s="297">
        <f>W14/1.15</f>
        <v/>
      </c>
      <c r="Z14" s="238" t="n">
        <v>26487.49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150896.97</v>
      </c>
      <c r="C15" s="310" t="n">
        <v>141945</v>
      </c>
      <c r="D15" s="310" t="n">
        <v>100278.77</v>
      </c>
      <c r="E15" s="310" t="n">
        <v>150977.88</v>
      </c>
      <c r="F15" s="310" t="n">
        <v>462494.34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541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9105</v>
      </c>
      <c r="U15" s="26" t="n"/>
      <c r="W15" t="n">
        <v>27148.41</v>
      </c>
      <c r="X15" s="297">
        <f>W15/1.15</f>
        <v/>
      </c>
      <c r="Z15" s="238" t="n">
        <v>25015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1" t="n"/>
      <c r="U4" s="24" t="n"/>
    </row>
    <row r="5" ht="15.6" customHeight="1">
      <c r="A5" s="198" t="inlineStr">
        <is>
          <t>Hartenbos</t>
        </is>
      </c>
      <c r="B5" s="310" t="n">
        <v>231222.07</v>
      </c>
      <c r="C5" s="310" t="n">
        <v>142533.66</v>
      </c>
      <c r="D5" s="310" t="n">
        <v>176192.07</v>
      </c>
      <c r="E5" s="311" t="n">
        <v>257455.68</v>
      </c>
      <c r="F5" s="310" t="n">
        <v>1316392.6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843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3031.5</v>
      </c>
      <c r="U5" s="9" t="n"/>
      <c r="W5" s="260" t="n"/>
      <c r="X5" s="297">
        <f>W5/1.15</f>
        <v/>
      </c>
      <c r="Z5" t="n">
        <v>32678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204863.42</v>
      </c>
      <c r="C6" s="310" t="n">
        <v>315240.35</v>
      </c>
      <c r="D6" s="310" t="n">
        <v>237797.15</v>
      </c>
      <c r="E6" s="310" t="n">
        <v>227257.39</v>
      </c>
      <c r="F6" s="310" t="n">
        <v>958323.9399999999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745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11398.27</v>
      </c>
      <c r="U6" s="26" t="n"/>
      <c r="W6" t="n">
        <v>58465.74</v>
      </c>
      <c r="X6" s="297">
        <f>W6/1.15</f>
        <v/>
      </c>
      <c r="Z6" t="n">
        <v>30531.65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212169.11</v>
      </c>
      <c r="C7" s="310" t="n">
        <v>235865.33</v>
      </c>
      <c r="D7" s="310" t="n">
        <v>239634.11</v>
      </c>
      <c r="E7" s="311" t="n">
        <v>223446.27</v>
      </c>
      <c r="F7" s="310" t="n">
        <v>1004185.72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741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12570.5</v>
      </c>
      <c r="U7" s="26" t="n"/>
      <c r="W7" t="n">
        <v>36707.45</v>
      </c>
      <c r="X7" s="297">
        <f>W7/1.15</f>
        <v/>
      </c>
      <c r="Z7" t="n">
        <v>5306.18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126392.36</v>
      </c>
      <c r="C8" s="310" t="n">
        <v>39018.33</v>
      </c>
      <c r="D8" s="310" t="n">
        <v>155405.21</v>
      </c>
      <c r="E8" s="311" t="n">
        <v>138079.7</v>
      </c>
      <c r="F8" s="310" t="n">
        <v>634544.45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498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4869.5</v>
      </c>
      <c r="U8" s="9" t="n"/>
      <c r="W8" t="n">
        <v>39492.17</v>
      </c>
      <c r="X8" s="297">
        <f>W8/1.15</f>
        <v/>
      </c>
      <c r="Z8" t="n">
        <v>17465.5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189835.14</v>
      </c>
      <c r="C9" s="310" t="n">
        <v>194970.43</v>
      </c>
      <c r="D9" s="310" t="n">
        <v>193734.78</v>
      </c>
      <c r="E9" s="311" t="n">
        <v>231936.32</v>
      </c>
      <c r="F9" s="310" t="n">
        <v>887646.83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826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8934</v>
      </c>
      <c r="U9" s="26" t="n"/>
      <c r="W9" t="n">
        <v>42023.98</v>
      </c>
      <c r="X9" s="297">
        <f>W9/1.15</f>
        <v/>
      </c>
      <c r="Z9" t="n">
        <v>35252.54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214335.12</v>
      </c>
      <c r="C10" s="310" t="n">
        <v>214438.21</v>
      </c>
      <c r="D10" s="310" t="n">
        <v>202838.8</v>
      </c>
      <c r="E10" s="311" t="n">
        <v>248519.64</v>
      </c>
      <c r="F10" s="310" t="n">
        <v>1033415.99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869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12630</v>
      </c>
      <c r="U10" s="26" t="n"/>
      <c r="W10" t="n">
        <v>51855.57</v>
      </c>
      <c r="X10" s="297">
        <f>W10/1.15</f>
        <v/>
      </c>
      <c r="Z10" t="n">
        <v>27457.58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142345.79</v>
      </c>
      <c r="C11" s="310" t="n">
        <v>120214.26</v>
      </c>
      <c r="D11" s="310" t="n">
        <v>150231.94</v>
      </c>
      <c r="E11" s="311" t="n">
        <v>118378.17</v>
      </c>
      <c r="F11" s="310" t="n">
        <v>605639.39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439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2440</v>
      </c>
      <c r="U11" s="26" t="n"/>
      <c r="W11" t="n">
        <v>39099.64</v>
      </c>
      <c r="X11" s="297">
        <f>W11/1.15</f>
        <v/>
      </c>
      <c r="Z11" t="n">
        <v>20709.31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211661.8</v>
      </c>
      <c r="C12" s="310" t="n">
        <v>227123.11</v>
      </c>
      <c r="D12" s="310" t="n">
        <v>193364.19</v>
      </c>
      <c r="E12" s="311" t="n">
        <v>224024.94</v>
      </c>
      <c r="F12" s="310" t="n">
        <v>907731.1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795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2665</v>
      </c>
      <c r="U12" s="9" t="n"/>
      <c r="W12" t="n">
        <v>47087.23</v>
      </c>
      <c r="X12" s="297">
        <f>W12/1.15</f>
        <v/>
      </c>
      <c r="Z12" t="n">
        <v>38962.16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159981.17</v>
      </c>
      <c r="C13" s="310" t="n">
        <v>161595.07</v>
      </c>
      <c r="D13" s="310" t="n">
        <v>182521.14</v>
      </c>
      <c r="E13" s="311" t="n">
        <v>195536.13</v>
      </c>
      <c r="F13" s="310" t="n">
        <v>784720.54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701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7150.15</v>
      </c>
      <c r="U13" s="9" t="n"/>
      <c r="W13" t="n">
        <v>19246.53</v>
      </c>
      <c r="X13" s="297">
        <f>W13/1.15</f>
        <v/>
      </c>
      <c r="Z13" t="n">
        <v>41207.82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167241.45</v>
      </c>
      <c r="C14" s="310" t="n">
        <v>136515.1</v>
      </c>
      <c r="D14" s="310" t="n">
        <v>173613.53</v>
      </c>
      <c r="E14" s="311" t="n">
        <v>159646.01</v>
      </c>
      <c r="F14" s="310" t="n">
        <v>681221.0600000001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538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4638</v>
      </c>
      <c r="U14" s="26" t="n"/>
      <c r="W14" t="n">
        <v>45316.66</v>
      </c>
      <c r="X14" s="297">
        <f>W14/1.15</f>
        <v/>
      </c>
      <c r="Z14" t="n">
        <v>23236.5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150977.88</v>
      </c>
      <c r="C15" s="310" t="n">
        <v>141945</v>
      </c>
      <c r="D15" s="310" t="n">
        <v>136276.05</v>
      </c>
      <c r="E15" s="311" t="n">
        <v>141040.22</v>
      </c>
      <c r="F15" s="310" t="n">
        <v>603534.5600000001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523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8176.5</v>
      </c>
      <c r="U15" s="26" t="n"/>
      <c r="W15" t="n">
        <v>18817.23</v>
      </c>
      <c r="X15" s="297">
        <f>W15/1.15</f>
        <v/>
      </c>
      <c r="Z15" t="n">
        <v>19311.9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16.44140625" customWidth="1" min="5" max="5"/>
    <col width="19.441406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4.6640625" bestFit="1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01" t="n"/>
      <c r="B3" s="113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398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00">
        <f>IFERROR((SUM(E4-B4)/E4),0)</f>
        <v/>
      </c>
      <c r="J4" s="301">
        <f>SUM(J5:J15)</f>
        <v/>
      </c>
      <c r="K4" s="302">
        <f>AVERAGE(K5:K15)</f>
        <v/>
      </c>
      <c r="L4" s="303">
        <f>SUM(L5:L15)</f>
        <v/>
      </c>
      <c r="M4" s="304">
        <f>IFERROR(L4/J4,0)</f>
        <v/>
      </c>
      <c r="N4" s="305">
        <f>SUM(N7:N15)</f>
        <v/>
      </c>
      <c r="O4" s="306">
        <f>IFERROR(N4/SUM(J4),0)</f>
        <v/>
      </c>
      <c r="P4" s="307">
        <f>SUM(P5:P15)</f>
        <v/>
      </c>
      <c r="Q4" s="306">
        <f>SUM(P4/E4)</f>
        <v/>
      </c>
      <c r="R4" s="308">
        <f>SUM(R5:R15)</f>
        <v/>
      </c>
      <c r="S4" s="306">
        <f>SUM(R4/E4)</f>
        <v/>
      </c>
      <c r="T4" s="310">
        <f>SUM(T5:T15)</f>
        <v/>
      </c>
      <c r="U4" s="24" t="n"/>
    </row>
    <row r="5" ht="15.6" customHeight="1">
      <c r="A5" s="198" t="inlineStr">
        <is>
          <t>Hartenbos</t>
        </is>
      </c>
      <c r="B5" s="310" t="n">
        <v>257455.68</v>
      </c>
      <c r="C5" s="310" t="n">
        <v>165767.19</v>
      </c>
      <c r="D5" s="310" t="n">
        <v>170291.99</v>
      </c>
      <c r="E5" s="310" t="n">
        <v>336758.14</v>
      </c>
      <c r="F5" s="310" t="n">
        <v>317546.77</v>
      </c>
      <c r="G5" s="86">
        <f>IFERROR((SUM(E5-C5)/C5),0)</f>
        <v/>
      </c>
      <c r="H5" s="86">
        <f>IFERROR((SUM(E5-D5)/D5),0)</f>
        <v/>
      </c>
      <c r="I5" s="86">
        <f>IFERROR((SUM(E5-B5)/B5),0)</f>
        <v/>
      </c>
      <c r="J5" s="311" t="n">
        <v>965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3410.88</v>
      </c>
      <c r="U5" s="9" t="n"/>
      <c r="W5" s="260" t="n"/>
      <c r="X5" s="297">
        <f>W5/1.15</f>
        <v/>
      </c>
      <c r="Z5" t="n">
        <v>38351.5</v>
      </c>
      <c r="AA5" s="297">
        <f>SUM(Z5)/1.15</f>
        <v/>
      </c>
    </row>
    <row r="6" ht="16.2" customHeight="1" thickBot="1">
      <c r="A6" s="409" t="inlineStr">
        <is>
          <t>Eagles Landing</t>
        </is>
      </c>
      <c r="B6" s="310" t="n">
        <v>227257.39</v>
      </c>
      <c r="C6" s="310" t="n">
        <v>308365.96</v>
      </c>
      <c r="D6" s="310" t="n">
        <v>243978.34</v>
      </c>
      <c r="E6" s="310" t="n">
        <v>220235.36</v>
      </c>
      <c r="F6" s="310" t="n">
        <v>199624.68</v>
      </c>
      <c r="G6" s="86">
        <f>IFERROR((SUM(E6-C6)/C6),0)</f>
        <v/>
      </c>
      <c r="H6" s="86">
        <f>IFERROR((SUM(E6-D6)/D6),0)</f>
        <v/>
      </c>
      <c r="I6" s="86">
        <f>IFERROR((SUM(E6-B6)/B6),0)</f>
        <v/>
      </c>
      <c r="J6" s="311" t="n">
        <v>691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8612.1</v>
      </c>
      <c r="U6" s="26" t="n"/>
      <c r="W6" t="n">
        <v>50843.06</v>
      </c>
      <c r="X6" s="297">
        <f>W6/1.15</f>
        <v/>
      </c>
      <c r="Z6" t="n">
        <v>24302.04</v>
      </c>
      <c r="AA6" s="297">
        <f>SUM(Z6)/1.15</f>
        <v/>
      </c>
    </row>
    <row r="7" ht="16.5" customHeight="1">
      <c r="A7" s="408" t="inlineStr">
        <is>
          <t>Irene Village</t>
        </is>
      </c>
      <c r="B7" s="310" t="n">
        <v>223446.27</v>
      </c>
      <c r="C7" s="310" t="n">
        <v>228976.77</v>
      </c>
      <c r="D7" s="310" t="n">
        <v>220251.26</v>
      </c>
      <c r="E7" s="310" t="n">
        <v>196319.56</v>
      </c>
      <c r="F7" s="310" t="n">
        <v>185104.51</v>
      </c>
      <c r="G7" s="86">
        <f>IFERROR((SUM(E7-C7)/C7),0)</f>
        <v/>
      </c>
      <c r="H7" s="86">
        <f>IFERROR((SUM(E7-D7)/D7),0)</f>
        <v/>
      </c>
      <c r="I7" s="86">
        <f>IFERROR((SUM(E7-B7)/B7),0)</f>
        <v/>
      </c>
      <c r="J7" s="311" t="n">
        <v>578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10156.2</v>
      </c>
      <c r="U7" s="26" t="n"/>
      <c r="W7" t="n">
        <v>36510.86</v>
      </c>
      <c r="X7" s="297">
        <f>W7/1.15</f>
        <v/>
      </c>
      <c r="Z7" t="n">
        <v>3998.07</v>
      </c>
      <c r="AA7" s="297">
        <f>SUM(Z7)/1.15</f>
        <v/>
      </c>
    </row>
    <row r="8" ht="15.6" customHeight="1">
      <c r="A8" s="198" t="inlineStr">
        <is>
          <t>Kyalami Corner</t>
        </is>
      </c>
      <c r="B8" s="310" t="n">
        <v>138079.7</v>
      </c>
      <c r="C8" s="310" t="n">
        <v>122700.03</v>
      </c>
      <c r="D8" s="310" t="n">
        <v>138958.96</v>
      </c>
      <c r="E8" s="310" t="n">
        <v>121044.86</v>
      </c>
      <c r="F8" s="310" t="n">
        <v>111107.79</v>
      </c>
      <c r="G8" s="86">
        <f>IFERROR((SUM(E8-C8)/C8),0)</f>
        <v/>
      </c>
      <c r="H8" s="86">
        <f>IFERROR((SUM(E8-D8)/D8),0)</f>
        <v/>
      </c>
      <c r="I8" s="86">
        <f>IFERROR((SUM(E8-B8)/B8),0)</f>
        <v/>
      </c>
      <c r="J8" s="311" t="n">
        <v>417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5316.65</v>
      </c>
      <c r="U8" s="9" t="n"/>
      <c r="W8" t="n">
        <v>36727.04</v>
      </c>
      <c r="X8" s="297">
        <f>W8/1.15</f>
        <v/>
      </c>
      <c r="Z8" t="n">
        <v>16276</v>
      </c>
      <c r="AA8" s="297">
        <f>SUM(Z8)/1.15</f>
        <v/>
      </c>
    </row>
    <row r="9" ht="15.6" customHeight="1">
      <c r="A9" s="198" t="inlineStr">
        <is>
          <t>Lynnwood</t>
        </is>
      </c>
      <c r="B9" s="310" t="n">
        <v>231936.32</v>
      </c>
      <c r="C9" s="310" t="n">
        <v>215493.07</v>
      </c>
      <c r="D9" s="310" t="n">
        <v>192441.7</v>
      </c>
      <c r="E9" s="310" t="n">
        <v>207860.17</v>
      </c>
      <c r="F9" s="310" t="n">
        <v>187624.52</v>
      </c>
      <c r="G9" s="86">
        <f>IFERROR((SUM(E9-C9)/C9),0)</f>
        <v/>
      </c>
      <c r="H9" s="86">
        <f>IFERROR((SUM(E9-D9)/D9),0)</f>
        <v/>
      </c>
      <c r="I9" s="86">
        <f>IFERROR((SUM(E9-B9)/B9),0)</f>
        <v/>
      </c>
      <c r="J9" s="311" t="n">
        <v>675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6512</v>
      </c>
      <c r="U9" s="26" t="n"/>
      <c r="W9" t="n">
        <v>33689.99</v>
      </c>
      <c r="X9" s="297">
        <f>W9/1.15</f>
        <v/>
      </c>
      <c r="Z9" t="n">
        <v>25299.27</v>
      </c>
      <c r="AA9" s="297">
        <f>SUM(Z9)/1.15</f>
        <v/>
      </c>
    </row>
    <row r="10" ht="15.6" customHeight="1">
      <c r="A10" s="409" t="inlineStr">
        <is>
          <t>Melrose Arch</t>
        </is>
      </c>
      <c r="B10" s="310" t="n">
        <v>248519.64</v>
      </c>
      <c r="C10" s="310" t="n">
        <v>203728.44</v>
      </c>
      <c r="D10" s="310" t="n">
        <v>208284.54</v>
      </c>
      <c r="E10" s="310" t="n">
        <v>206956.47</v>
      </c>
      <c r="F10" s="310" t="n">
        <v>184409.42</v>
      </c>
      <c r="G10" s="86">
        <f>IFERROR((SUM(E10-C10)/C10),0)</f>
        <v/>
      </c>
      <c r="H10" s="86">
        <f>IFERROR((SUM(E10-D10)/D10),0)</f>
        <v/>
      </c>
      <c r="I10" s="86">
        <f>IFERROR((SUM(E10-B10)/B10),0)</f>
        <v/>
      </c>
      <c r="J10" s="311" t="n">
        <v>717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14717.93</v>
      </c>
      <c r="U10" s="26" t="n"/>
      <c r="W10" t="n">
        <v>34789.92</v>
      </c>
      <c r="X10" s="297">
        <f>W10/1.15</f>
        <v/>
      </c>
      <c r="Z10" t="n">
        <v>41130</v>
      </c>
      <c r="AA10" s="297">
        <f>SUM(Z10)/1.15</f>
        <v/>
      </c>
    </row>
    <row r="11" ht="15.6" customHeight="1">
      <c r="A11" s="409" t="inlineStr">
        <is>
          <t>Melville</t>
        </is>
      </c>
      <c r="B11" s="310" t="n">
        <v>118378.17</v>
      </c>
      <c r="C11" s="310" t="n">
        <v>108699.37</v>
      </c>
      <c r="D11" s="310" t="n">
        <v>132640.11</v>
      </c>
      <c r="E11" s="310" t="n">
        <v>131127.53</v>
      </c>
      <c r="F11" s="310" t="n">
        <v>118017.95</v>
      </c>
      <c r="G11" s="86">
        <f>IFERROR((SUM(E11-C11)/C11),0)</f>
        <v/>
      </c>
      <c r="H11" s="86">
        <f>IFERROR((SUM(E11-D11)/D11),0)</f>
        <v/>
      </c>
      <c r="I11" s="86">
        <f>IFERROR((SUM(E11-B11)/B11),0)</f>
        <v/>
      </c>
      <c r="J11" s="311" t="n">
        <v>472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2875.5</v>
      </c>
      <c r="U11" s="26" t="n"/>
      <c r="W11" t="n">
        <v>55408.11</v>
      </c>
      <c r="X11" s="297">
        <f>W11/1.15</f>
        <v/>
      </c>
      <c r="Z11" t="n">
        <v>23933.29</v>
      </c>
      <c r="AA11" s="297">
        <f>SUM(Z11)/1.15</f>
        <v/>
      </c>
    </row>
    <row r="12" ht="15.6" customHeight="1">
      <c r="A12" s="198" t="inlineStr">
        <is>
          <t>Cambridge Crossing</t>
        </is>
      </c>
      <c r="B12" s="310" t="n">
        <v>224024.94</v>
      </c>
      <c r="C12" s="310" t="n">
        <v>201597.1</v>
      </c>
      <c r="D12" s="310" t="n">
        <v>193925.84</v>
      </c>
      <c r="E12" s="310" t="n">
        <v>182201.77</v>
      </c>
      <c r="F12" s="310" t="n">
        <v>164796.43</v>
      </c>
      <c r="G12" s="86">
        <f>IFERROR((SUM(E12-C12)/C12),0)</f>
        <v/>
      </c>
      <c r="H12" s="86">
        <f>IFERROR((SUM(E12-D12)/D12),0)</f>
        <v/>
      </c>
      <c r="I12" s="86">
        <f>IFERROR((SUM(E12-B12)/B12),0)</f>
        <v/>
      </c>
      <c r="J12" s="311" t="n">
        <v>689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689</v>
      </c>
      <c r="U12" s="9" t="n"/>
      <c r="W12" t="n">
        <v>34752.81</v>
      </c>
      <c r="X12" s="297">
        <f>W12/1.15</f>
        <v/>
      </c>
      <c r="Z12" t="n">
        <v>34082.48</v>
      </c>
      <c r="AA12" s="297">
        <f>SUM(Z12)/1.15</f>
        <v/>
      </c>
    </row>
    <row r="13" ht="16.2" customHeight="1" thickBot="1">
      <c r="A13" s="199" t="inlineStr">
        <is>
          <t>Queenswood</t>
        </is>
      </c>
      <c r="B13" s="310" t="n">
        <v>195536.13</v>
      </c>
      <c r="C13" s="310" t="n">
        <v>164475.3</v>
      </c>
      <c r="D13" s="310" t="n">
        <v>186189.33</v>
      </c>
      <c r="E13" s="310" t="n">
        <v>157829.48</v>
      </c>
      <c r="F13" s="310" t="n">
        <v>143219.97</v>
      </c>
      <c r="G13" s="86">
        <f>IFERROR((SUM(E13-C13)/C13),0)</f>
        <v/>
      </c>
      <c r="H13" s="86">
        <f>IFERROR((SUM(E13-D13)/D13),0)</f>
        <v/>
      </c>
      <c r="I13" s="86">
        <f>IFERROR((SUM(E13-B13)/B13),0)</f>
        <v/>
      </c>
      <c r="J13" s="311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4638.75</v>
      </c>
      <c r="U13" s="9" t="n"/>
      <c r="W13" t="n">
        <v>32669.17</v>
      </c>
      <c r="X13" s="297">
        <f>W13/1.15</f>
        <v/>
      </c>
      <c r="Z13" t="n">
        <v>16855.28</v>
      </c>
      <c r="AA13" s="297">
        <f>SUM(Z13)/1.15</f>
        <v/>
      </c>
    </row>
    <row r="14" ht="15.6" customHeight="1">
      <c r="A14" s="409" t="inlineStr">
        <is>
          <t xml:space="preserve">Waterkloof </t>
        </is>
      </c>
      <c r="B14" s="314" t="n">
        <v>159646.01</v>
      </c>
      <c r="C14" s="310" t="n">
        <v>132983.03</v>
      </c>
      <c r="D14" s="310" t="n">
        <v>147310.94</v>
      </c>
      <c r="E14" s="310" t="n">
        <v>151265.91</v>
      </c>
      <c r="F14" s="310" t="n">
        <v>138170.43</v>
      </c>
      <c r="G14" s="86">
        <f>IFERROR((SUM(E14-C14)/C14),0)</f>
        <v/>
      </c>
      <c r="H14" s="86">
        <f>IFERROR((SUM(E14-D14)/D14),0)</f>
        <v/>
      </c>
      <c r="I14" s="86">
        <f>IFERROR((SUM(E14-B14)/B14),0)</f>
        <v/>
      </c>
      <c r="J14" s="311" t="n">
        <v>476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4844</v>
      </c>
      <c r="U14" s="26" t="n"/>
      <c r="W14" t="n">
        <v>38067.55</v>
      </c>
      <c r="X14" s="297">
        <f>W14/1.15</f>
        <v/>
      </c>
      <c r="Z14" t="n">
        <v>19883.76</v>
      </c>
      <c r="AA14" s="297">
        <f>SUM(Z14)/1.15</f>
        <v/>
      </c>
    </row>
    <row r="15" ht="15.6" customHeight="1">
      <c r="A15" s="198" t="inlineStr">
        <is>
          <t>Stellenbosch</t>
        </is>
      </c>
      <c r="B15" s="310" t="n">
        <v>141040.22</v>
      </c>
      <c r="C15" s="310" t="n">
        <v>146753.75</v>
      </c>
      <c r="D15" s="310" t="n">
        <v>118764.14</v>
      </c>
      <c r="E15" s="310" t="n">
        <v>119884.4</v>
      </c>
      <c r="F15" s="310" t="n">
        <v>103696.25</v>
      </c>
      <c r="G15" s="86">
        <f>IFERROR((SUM(E15-C15)/C15),0)</f>
        <v/>
      </c>
      <c r="H15" s="86">
        <f>IFERROR((SUM(E15-D15)/D15),0)</f>
        <v/>
      </c>
      <c r="I15" s="86">
        <f>IFERROR((SUM(E15-B15)/B15),0)</f>
        <v/>
      </c>
      <c r="J15" s="311" t="n">
        <v>437</v>
      </c>
      <c r="K15" s="63">
        <f>IFERROR(E15/J15,0)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SUM(X15)</f>
        <v/>
      </c>
      <c r="Q15" s="89">
        <f>SUM(P15/E15)</f>
        <v/>
      </c>
      <c r="R15" s="260">
        <f>SUM(AA15)</f>
        <v/>
      </c>
      <c r="S15" s="89">
        <f>SUM(R15/E15)</f>
        <v/>
      </c>
      <c r="T15" s="310" t="n">
        <v>7392.5</v>
      </c>
      <c r="U15" s="26" t="n"/>
      <c r="W15" t="n">
        <v>21585.8</v>
      </c>
      <c r="X15" s="297">
        <f>W15/1.15</f>
        <v/>
      </c>
      <c r="Z15" t="n">
        <v>11951.25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baseColWidth="8" defaultRowHeight="14.4"/>
  <cols>
    <col width="23" customWidth="1" min="1" max="1"/>
    <col width="19" customWidth="1" min="2" max="2"/>
    <col width="17.3320312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32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336758.14</v>
      </c>
      <c r="C5" s="316" t="n">
        <v>187730</v>
      </c>
      <c r="D5" s="317" t="n">
        <v>182462.52</v>
      </c>
      <c r="E5" s="316" t="n">
        <v>243627.61</v>
      </c>
      <c r="F5" s="318" t="n">
        <v>561174.38</v>
      </c>
      <c r="G5" s="335">
        <f>IFERROR((SUM(E5-C5)/C5),0)</f>
        <v/>
      </c>
      <c r="H5" s="336">
        <f>IFERROR((SUM(E5-D5)/D5),0)</f>
        <v/>
      </c>
      <c r="I5" s="337">
        <f>IFERROR((SUM(E5-B5)/B5),0)</f>
        <v/>
      </c>
      <c r="J5" s="333" t="n">
        <v>765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20" t="n">
        <v>1228.3</v>
      </c>
      <c r="U5" s="9" t="n"/>
      <c r="W5" s="260" t="n"/>
      <c r="X5" s="297">
        <f>W5/1.15</f>
        <v/>
      </c>
      <c r="Z5" t="n">
        <v>28797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220235.36</v>
      </c>
      <c r="C6" s="310" t="n">
        <v>311032.46</v>
      </c>
      <c r="D6" s="310" t="n">
        <v>220256.34</v>
      </c>
      <c r="E6" s="310" t="n">
        <v>244982.86</v>
      </c>
      <c r="F6" s="319" t="n">
        <v>444607.54</v>
      </c>
      <c r="G6" s="338">
        <f>IFERROR((SUM(E6-C6)/C6),0)</f>
        <v/>
      </c>
      <c r="H6" s="86">
        <f>IFERROR((SUM(E6-D6)/D6),0)</f>
        <v/>
      </c>
      <c r="I6" s="339">
        <f>IFERROR((SUM(E6-B6)/B6),0)</f>
        <v/>
      </c>
      <c r="J6" s="333" t="n">
        <v>719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20" t="n">
        <v>12416.25</v>
      </c>
      <c r="U6" s="26" t="n"/>
      <c r="W6" t="n">
        <v>55151.84</v>
      </c>
      <c r="X6" s="297">
        <f>W6/1.15</f>
        <v/>
      </c>
      <c r="Z6" t="n">
        <v>30059.92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196319.56</v>
      </c>
      <c r="C7" s="310" t="n">
        <v>289568.69</v>
      </c>
      <c r="D7" s="310" t="n">
        <v>193086.26</v>
      </c>
      <c r="E7" s="310" t="n">
        <v>213466.9</v>
      </c>
      <c r="F7" s="319" t="n">
        <v>446990.28</v>
      </c>
      <c r="G7" s="338">
        <f>IFERROR((SUM(E7-C7)/C7),0)</f>
        <v/>
      </c>
      <c r="H7" s="86">
        <f>IFERROR((SUM(E7-D7)/D7),0)</f>
        <v/>
      </c>
      <c r="I7" s="339">
        <f>IFERROR((SUM(E7-B7)/B7),0)</f>
        <v/>
      </c>
      <c r="J7" s="333" t="n">
        <v>619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20" t="n">
        <v>10169</v>
      </c>
      <c r="U7" s="26" t="n"/>
      <c r="W7" t="n">
        <v>38595.99</v>
      </c>
      <c r="X7" s="297">
        <f>W7/1.15</f>
        <v/>
      </c>
      <c r="Z7" t="n">
        <v>8002.43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121044.86</v>
      </c>
      <c r="C8" s="310" t="n">
        <v>117265.6</v>
      </c>
      <c r="D8" s="310" t="n">
        <v>144976.69</v>
      </c>
      <c r="E8" s="310">
        <f>126982.33+22739.15</f>
        <v/>
      </c>
      <c r="F8" s="319" t="n">
        <v>195487.42</v>
      </c>
      <c r="G8" s="338">
        <f>IFERROR((SUM(E8-C8)/C8),0)</f>
        <v/>
      </c>
      <c r="H8" s="86">
        <f>IFERROR((SUM(E8-D8)/D8),0)</f>
        <v/>
      </c>
      <c r="I8" s="339">
        <f>IFERROR((SUM(E8-B8)/B8),0)</f>
        <v/>
      </c>
      <c r="J8" s="333" t="n">
        <v>223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20" t="n">
        <v>4019.25</v>
      </c>
      <c r="U8" s="9" t="n"/>
      <c r="W8" t="n">
        <v>19512.9</v>
      </c>
      <c r="X8" s="297">
        <f>W8/1.15</f>
        <v/>
      </c>
      <c r="Z8" t="n">
        <v>9307.43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207860.17</v>
      </c>
      <c r="C9" s="310" t="n">
        <v>202568.82</v>
      </c>
      <c r="D9" s="311" t="n">
        <v>194468.69</v>
      </c>
      <c r="E9" s="310" t="n">
        <v>205442.02</v>
      </c>
      <c r="F9" s="319" t="n">
        <v>418187.37</v>
      </c>
      <c r="G9" s="338">
        <f>IFERROR((SUM(E9-C9)/C9),0)</f>
        <v/>
      </c>
      <c r="H9" s="86">
        <f>IFERROR((SUM(E9-D9)/D9),0)</f>
        <v/>
      </c>
      <c r="I9" s="339">
        <f>IFERROR((SUM(E9-B9)/B9),0)</f>
        <v/>
      </c>
      <c r="J9" s="333" t="n">
        <v>713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20" t="n">
        <v>10730.75</v>
      </c>
      <c r="U9" s="26" t="n"/>
      <c r="W9" t="n">
        <v>43871.73</v>
      </c>
      <c r="X9" s="297">
        <f>W9/1.15</f>
        <v/>
      </c>
      <c r="Z9" t="n">
        <v>29313.28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206956.47</v>
      </c>
      <c r="C10" s="310" t="n">
        <v>209028.31</v>
      </c>
      <c r="D10" s="311" t="n">
        <v>245963.82</v>
      </c>
      <c r="E10" s="310" t="n">
        <v>225543.9</v>
      </c>
      <c r="F10" s="319" t="n">
        <v>443361.36</v>
      </c>
      <c r="G10" s="338">
        <f>IFERROR((SUM(E10-C10)/C10),0)</f>
        <v/>
      </c>
      <c r="H10" s="86">
        <f>IFERROR((SUM(E10-D10)/D10),0)</f>
        <v/>
      </c>
      <c r="I10" s="339">
        <f>IFERROR((SUM(E10-B10)/B10),0)</f>
        <v/>
      </c>
      <c r="J10" s="333" t="n">
        <v>740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20" t="n">
        <v>15754.93</v>
      </c>
      <c r="U10" s="26" t="n"/>
      <c r="W10" t="n">
        <v>43102.66</v>
      </c>
      <c r="X10" s="297">
        <f>W10/1.15</f>
        <v/>
      </c>
      <c r="Z10" t="n">
        <v>32736.67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131127.53</v>
      </c>
      <c r="C11" s="310" t="n">
        <v>101423.55</v>
      </c>
      <c r="D11" s="311" t="n">
        <v>118190.42</v>
      </c>
      <c r="E11" s="310" t="n">
        <v>138644.67</v>
      </c>
      <c r="F11" s="319" t="n">
        <v>256662.62</v>
      </c>
      <c r="G11" s="338">
        <f>IFERROR((SUM(E11-C11)/C11),0)</f>
        <v/>
      </c>
      <c r="H11" s="86">
        <f>IFERROR((SUM(E11-D11)/D11),0)</f>
        <v/>
      </c>
      <c r="I11" s="339">
        <f>IFERROR((SUM(E11-B11)/B11),0)</f>
        <v/>
      </c>
      <c r="J11" s="333" t="n">
        <v>450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20" t="n">
        <v>3741.3</v>
      </c>
      <c r="U11" s="26" t="n"/>
      <c r="W11" t="n">
        <v>28716.78</v>
      </c>
      <c r="X11" s="297">
        <f>W11/1.15</f>
        <v/>
      </c>
      <c r="Z11" t="n">
        <v>52651.86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182201.77</v>
      </c>
      <c r="C12" s="310" t="n">
        <v>0</v>
      </c>
      <c r="D12" s="311" t="n">
        <v>195032.18</v>
      </c>
      <c r="E12" s="310" t="n">
        <v>192337.39</v>
      </c>
      <c r="F12" s="319" t="n">
        <v>379454.27</v>
      </c>
      <c r="G12" s="338">
        <f>IFERROR((SUM(E12-C12)/C12),0)</f>
        <v/>
      </c>
      <c r="H12" s="86">
        <f>IFERROR((SUM(E12-D12)/D12),0)</f>
        <v/>
      </c>
      <c r="I12" s="339">
        <f>IFERROR((SUM(E12-B12)/B12),0)</f>
        <v/>
      </c>
      <c r="J12" s="333" t="n">
        <v>687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20" t="n">
        <v>6300</v>
      </c>
      <c r="U12" s="9" t="n"/>
      <c r="W12" t="n">
        <v>34928.39</v>
      </c>
      <c r="X12" s="297">
        <f>W12/1.15</f>
        <v/>
      </c>
      <c r="Z12" t="n">
        <v>34420.41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157829.48</v>
      </c>
      <c r="C13" s="310" t="n">
        <v>165084.29</v>
      </c>
      <c r="D13" s="310" t="n">
        <v>195032.18</v>
      </c>
      <c r="E13" s="310" t="n">
        <v>157111.86</v>
      </c>
      <c r="F13" s="320" t="n">
        <v>327896.64</v>
      </c>
      <c r="G13" s="338">
        <f>IFERROR((SUM(E13-C13)/C13),0)</f>
        <v/>
      </c>
      <c r="H13" s="86">
        <f>IFERROR((SUM(E13-D13)/D13),0)</f>
        <v/>
      </c>
      <c r="I13" s="339">
        <f>IFERROR((SUM(E13-B13)/B13),0)</f>
        <v/>
      </c>
      <c r="J13" s="333" t="n">
        <v>550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20" t="n">
        <v>5179</v>
      </c>
      <c r="U13" s="9" t="n"/>
      <c r="W13" t="n">
        <v>34830.57</v>
      </c>
      <c r="X13" s="297">
        <f>W13/1.15</f>
        <v/>
      </c>
      <c r="Z13" t="n">
        <v>19007.72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151265.91</v>
      </c>
      <c r="C14" s="310" t="n">
        <v>137768.23</v>
      </c>
      <c r="D14" s="310" t="n">
        <v>149959.23</v>
      </c>
      <c r="E14" s="310" t="n">
        <v>163525.03</v>
      </c>
      <c r="F14" s="319" t="n">
        <v>325121</v>
      </c>
      <c r="G14" s="338">
        <f>IFERROR((SUM(E14-C14)/C14),0)</f>
        <v/>
      </c>
      <c r="H14" s="86">
        <f>IFERROR((SUM(E14-D14)/D14),0)</f>
        <v/>
      </c>
      <c r="I14" s="339">
        <f>IFERROR((SUM(E14-B14)/B14),0)</f>
        <v/>
      </c>
      <c r="J14" s="333" t="n">
        <v>479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20" t="n">
        <v>7280.6</v>
      </c>
      <c r="U14" s="26" t="n"/>
      <c r="W14" t="n">
        <v>23520.5</v>
      </c>
      <c r="X14" s="297">
        <f>W14/1.15</f>
        <v/>
      </c>
      <c r="Z14" t="n">
        <v>45884.21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119884.4</v>
      </c>
      <c r="C15" s="321" t="n">
        <v>143951.47</v>
      </c>
      <c r="D15" s="322" t="n">
        <v>117466.88</v>
      </c>
      <c r="E15" s="321" t="n">
        <v>149318.93</v>
      </c>
      <c r="F15" s="323" t="n">
        <v>269255.72</v>
      </c>
      <c r="G15" s="340">
        <f>IFERROR((SUM(E15-C15)/C15),0)</f>
        <v/>
      </c>
      <c r="H15" s="341">
        <f>IFERROR((SUM(E15-D15)/D15),0)</f>
        <v/>
      </c>
      <c r="I15" s="342">
        <f>IFERROR((SUM(E15-B15)/B15),0)</f>
        <v/>
      </c>
      <c r="J15" s="334" t="n">
        <v>499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23" t="n">
        <v>9675.5</v>
      </c>
      <c r="U15" s="26" t="n"/>
      <c r="W15" t="n">
        <v>20520.15</v>
      </c>
      <c r="X15" s="297">
        <f>W15/1.15</f>
        <v/>
      </c>
      <c r="Z15" t="n">
        <v>21372.09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243627.61</v>
      </c>
      <c r="C5" s="310" t="n">
        <v>203493.11</v>
      </c>
      <c r="D5" s="310" t="n">
        <v>183104.61</v>
      </c>
      <c r="E5" s="310" t="n">
        <v>249994.6</v>
      </c>
      <c r="F5" s="310" t="n">
        <v>811168.98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748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2697</v>
      </c>
      <c r="U5" s="9" t="n"/>
      <c r="W5" s="260" t="n"/>
      <c r="X5" s="297">
        <f>W5/1.15</f>
        <v/>
      </c>
      <c r="Z5" s="238" t="n">
        <v>25748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244982.86</v>
      </c>
      <c r="C6" s="310" t="n">
        <v>372731.86</v>
      </c>
      <c r="D6" s="310" t="n">
        <v>235541.57</v>
      </c>
      <c r="E6" s="310" t="n">
        <v>237635.66</v>
      </c>
      <c r="F6" s="310" t="n">
        <v>682243.2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14849.6</v>
      </c>
      <c r="U6" s="26" t="n"/>
      <c r="W6" s="238" t="n">
        <v>46360.33</v>
      </c>
      <c r="X6" s="297">
        <f>W6/1.15</f>
        <v/>
      </c>
      <c r="Z6" s="238" t="n">
        <v>18911.47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213466.9</v>
      </c>
      <c r="C7" s="310" t="n">
        <v>249420.07</v>
      </c>
      <c r="D7" s="310" t="n">
        <v>212158.9</v>
      </c>
      <c r="E7" s="310" t="n">
        <v>230492.54</v>
      </c>
      <c r="F7" s="310" t="n">
        <v>677482.8199999999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683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9734.5</v>
      </c>
      <c r="U7" s="26" t="n"/>
      <c r="W7" s="238" t="n">
        <v>49160.12</v>
      </c>
      <c r="X7" s="297">
        <f>W7/1.15</f>
        <v/>
      </c>
      <c r="Z7" s="238" t="n">
        <v>10648.79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149721.48</v>
      </c>
      <c r="C8" s="310" t="n">
        <v>130233.66</v>
      </c>
      <c r="D8" s="310" t="n">
        <v>128705.38</v>
      </c>
      <c r="E8" s="310" t="n">
        <v>128763.54</v>
      </c>
      <c r="F8" s="310" t="n">
        <v>414675.74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466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7014.25</v>
      </c>
      <c r="U8" s="9" t="n"/>
      <c r="W8" s="238" t="n">
        <v>37034.42</v>
      </c>
      <c r="X8" s="297">
        <f>W8/1.15</f>
        <v/>
      </c>
      <c r="Z8" s="238" t="n">
        <v>16610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205442.02</v>
      </c>
      <c r="C9" s="310" t="n">
        <v>218108.55</v>
      </c>
      <c r="D9" s="310" t="n">
        <v>191383.89</v>
      </c>
      <c r="E9" s="310" t="n">
        <v>205833.28</v>
      </c>
      <c r="F9" s="310" t="n">
        <v>624020.65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6945.5</v>
      </c>
      <c r="U9" s="26" t="n"/>
      <c r="W9" s="238" t="n">
        <v>34721.83</v>
      </c>
      <c r="X9" s="297">
        <f>W9/1.15</f>
        <v/>
      </c>
      <c r="Z9" s="238" t="n">
        <v>32435.78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225543.9</v>
      </c>
      <c r="C10" s="310" t="n">
        <v>277083.59</v>
      </c>
      <c r="D10" s="310" t="n">
        <v>191383.89</v>
      </c>
      <c r="E10" s="310" t="n">
        <v>215357.09</v>
      </c>
      <c r="F10" s="310" t="n">
        <v>658718.45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750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11516.51</v>
      </c>
      <c r="U10" s="26" t="n"/>
      <c r="W10" s="238" t="n">
        <v>29945.99</v>
      </c>
      <c r="X10" s="297">
        <f>W10/1.15</f>
        <v/>
      </c>
      <c r="Z10" s="238" t="n">
        <v>26749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138644.67</v>
      </c>
      <c r="C11" s="310" t="n">
        <v>126423.17</v>
      </c>
      <c r="D11" s="310" t="n">
        <v>125078.1</v>
      </c>
      <c r="E11" s="310" t="n">
        <v>162221.22</v>
      </c>
      <c r="F11" s="310" t="n">
        <v>418883.84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516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5951.4</v>
      </c>
      <c r="U11" s="26" t="n"/>
      <c r="W11" s="238" t="n">
        <v>47210.48</v>
      </c>
      <c r="X11" s="297">
        <f>W11/1.15</f>
        <v/>
      </c>
      <c r="Z11" s="238" t="n">
        <v>22088.94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192337.39</v>
      </c>
      <c r="C12" s="310" t="n">
        <v>214348.71</v>
      </c>
      <c r="D12" s="310" t="n">
        <v>199114.42</v>
      </c>
      <c r="E12" s="310" t="n">
        <v>209808.55</v>
      </c>
      <c r="F12" s="310" t="n">
        <v>589262.8199999999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735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6644</v>
      </c>
      <c r="U12" s="9" t="n"/>
      <c r="W12" s="238" t="n">
        <v>28871.36</v>
      </c>
      <c r="X12" s="297">
        <f>W12/1.15</f>
        <v/>
      </c>
      <c r="Z12" s="238" t="n">
        <v>32669.62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157111.86</v>
      </c>
      <c r="C13" s="310" t="n">
        <v>167548.27</v>
      </c>
      <c r="D13" s="310" t="n">
        <v>152715.91</v>
      </c>
      <c r="E13" s="310" t="n">
        <v>172334.61</v>
      </c>
      <c r="F13" s="310" t="n">
        <v>500231.25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632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7492.75</v>
      </c>
      <c r="U13" s="9" t="n"/>
      <c r="W13" s="238" t="n">
        <v>32827.8</v>
      </c>
      <c r="X13" s="297">
        <f>W13/1.15</f>
        <v/>
      </c>
      <c r="Z13" s="238" t="n">
        <v>24116.8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163525.03</v>
      </c>
      <c r="C14" s="310" t="n">
        <v>151772.77</v>
      </c>
      <c r="D14" s="310" t="n">
        <v>155534.25</v>
      </c>
      <c r="E14" s="310" t="n">
        <v>158904.88</v>
      </c>
      <c r="F14" s="310" t="n">
        <v>484025.88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504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7740.6</v>
      </c>
      <c r="U14" s="26" t="n"/>
      <c r="W14" s="238" t="n">
        <v>41021.71</v>
      </c>
      <c r="X14" s="297">
        <f>W14/1.15</f>
        <v/>
      </c>
      <c r="Z14" s="238" t="n">
        <v>18491.17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149318.93</v>
      </c>
      <c r="C15" s="310" t="n">
        <v>143504.96</v>
      </c>
      <c r="D15" s="310" t="n">
        <v>113656.36</v>
      </c>
      <c r="E15" s="310" t="n">
        <v>160007.63</v>
      </c>
      <c r="F15" s="310" t="n">
        <v>429263.35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575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8581.5</v>
      </c>
      <c r="U15" s="26" t="n"/>
      <c r="W15" s="238" t="n">
        <v>23551.85</v>
      </c>
      <c r="X15" s="297">
        <f>W15/1.15</f>
        <v/>
      </c>
      <c r="Z15" s="238" t="n">
        <v>20604.5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249994.6</v>
      </c>
      <c r="C5" s="310" t="n">
        <v>203493.11</v>
      </c>
      <c r="D5" s="310" t="n">
        <v>174615.21</v>
      </c>
      <c r="E5" s="310" t="n">
        <v>285667.41</v>
      </c>
      <c r="F5" s="310" t="n">
        <v>1096836.39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826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1495.65</v>
      </c>
      <c r="U5" s="9" t="n"/>
      <c r="W5" s="260" t="n"/>
      <c r="X5" s="297">
        <f>W5/1.15</f>
        <v/>
      </c>
      <c r="Z5" s="238" t="n">
        <v>27273.5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237635.66</v>
      </c>
      <c r="C6" s="310" t="n">
        <v>372731.86</v>
      </c>
      <c r="D6" s="310" t="n">
        <v>249927.98</v>
      </c>
      <c r="E6" s="310" t="n">
        <v>241715.58</v>
      </c>
      <c r="F6" s="310" t="n">
        <v>923958.78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735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7779.14</v>
      </c>
      <c r="U6" s="26" t="n"/>
      <c r="W6" s="238" t="n">
        <v>45962.53</v>
      </c>
      <c r="X6" s="297">
        <f>W6/1.15</f>
        <v/>
      </c>
      <c r="Z6" s="238" t="n">
        <v>24485.21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230492.54</v>
      </c>
      <c r="C7" s="310" t="n">
        <v>249420.07</v>
      </c>
      <c r="D7" s="310" t="n">
        <v>224536.32</v>
      </c>
      <c r="E7" s="310" t="n">
        <v>248794.84</v>
      </c>
      <c r="F7" s="310" t="n">
        <v>926277.66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719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14971.5</v>
      </c>
      <c r="U7" s="26" t="n"/>
      <c r="W7" s="238" t="n">
        <v>46249.62</v>
      </c>
      <c r="X7" s="297">
        <f>W7/1.15</f>
        <v/>
      </c>
      <c r="Z7" s="238" t="n">
        <v>3113.27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128763.54</v>
      </c>
      <c r="C8" s="310" t="n">
        <v>130233.66</v>
      </c>
      <c r="D8" s="310" t="n">
        <v>159324.35</v>
      </c>
      <c r="E8" s="310" t="n">
        <v>163499.22</v>
      </c>
      <c r="F8" s="310" t="n">
        <v>578174.96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543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8588.51</v>
      </c>
      <c r="U8" s="9" t="n"/>
      <c r="W8" s="238" t="n">
        <v>34035.08</v>
      </c>
      <c r="X8" s="297">
        <f>W8/1.15</f>
        <v/>
      </c>
      <c r="Z8" s="238" t="n">
        <v>25622.28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205833.28</v>
      </c>
      <c r="C9" s="310" t="n">
        <v>218108.55</v>
      </c>
      <c r="D9" s="310" t="n">
        <v>230348.64</v>
      </c>
      <c r="E9" s="310" t="n">
        <v>231934.4</v>
      </c>
      <c r="F9" s="310" t="n">
        <v>855955.05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752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11857.75</v>
      </c>
      <c r="U9" s="26" t="n"/>
      <c r="W9" s="238" t="n">
        <v>33484.6</v>
      </c>
      <c r="X9" s="297">
        <f>W9/1.15</f>
        <v/>
      </c>
      <c r="Z9" s="238" t="n">
        <v>26610.59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215357.09</v>
      </c>
      <c r="C10" s="310" t="n">
        <v>277083.59</v>
      </c>
      <c r="D10" s="310" t="n">
        <v>275338.65</v>
      </c>
      <c r="E10" s="310" t="n">
        <v>313779.59</v>
      </c>
      <c r="F10" s="310" t="n">
        <v>972498.04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957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19752.06</v>
      </c>
      <c r="U10" s="26" t="n"/>
      <c r="W10" s="238" t="n">
        <v>32474.95</v>
      </c>
      <c r="X10" s="297">
        <f>W10/1.15</f>
        <v/>
      </c>
      <c r="Z10" s="238" t="n">
        <v>30400.61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162221.22</v>
      </c>
      <c r="C11" s="310" t="n">
        <v>126423.17</v>
      </c>
      <c r="D11" s="310" t="n">
        <v>122785.28</v>
      </c>
      <c r="E11" s="310" t="n">
        <v>188003.06</v>
      </c>
      <c r="F11" s="310" t="n">
        <v>606886.9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558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5617.5</v>
      </c>
      <c r="U11" s="26" t="n"/>
      <c r="W11" s="238" t="n">
        <v>65105.82</v>
      </c>
      <c r="X11" s="297">
        <f>W11/1.15</f>
        <v/>
      </c>
      <c r="Z11" s="238" t="n">
        <v>42116.07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209808.55</v>
      </c>
      <c r="C12" s="310" t="n">
        <v>214348.71</v>
      </c>
      <c r="D12" s="310" t="n">
        <v>198093.56</v>
      </c>
      <c r="E12" s="310" t="n">
        <v>222526.87</v>
      </c>
      <c r="F12" s="310" t="n">
        <v>811789.6899999999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793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6548</v>
      </c>
      <c r="U12" s="9" t="n"/>
      <c r="W12" s="238" t="n">
        <v>41161.8</v>
      </c>
      <c r="X12" s="297">
        <f>W12/1.15</f>
        <v/>
      </c>
      <c r="Z12" s="238" t="n">
        <v>37116.56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172334.61</v>
      </c>
      <c r="C13" s="310" t="n">
        <v>167548.27</v>
      </c>
      <c r="D13" s="310" t="n">
        <v>180473.33</v>
      </c>
      <c r="E13" s="310" t="n">
        <v>196663.77</v>
      </c>
      <c r="F13" s="310" t="n">
        <v>696895.02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697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6952</v>
      </c>
      <c r="U13" s="9" t="n"/>
      <c r="W13" s="238" t="n">
        <v>33717.93</v>
      </c>
      <c r="X13" s="297">
        <f>W13/1.15</f>
        <v/>
      </c>
      <c r="Z13" s="238" t="n">
        <v>34810.68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158904.88</v>
      </c>
      <c r="C14" s="310" t="n">
        <v>151772.77</v>
      </c>
      <c r="D14" s="310" t="n">
        <v>167295.86</v>
      </c>
      <c r="E14" s="310" t="n">
        <v>178420.43</v>
      </c>
      <c r="F14" s="310" t="n">
        <v>662446.3100000001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544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6181</v>
      </c>
      <c r="U14" s="26" t="n"/>
      <c r="W14" s="238" t="n">
        <v>49430.96</v>
      </c>
      <c r="X14" s="297">
        <f>W14/1.15</f>
        <v/>
      </c>
      <c r="Z14" s="238" t="n">
        <v>21194.73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160007.63</v>
      </c>
      <c r="C15" s="310" t="n">
        <v>143504.96</v>
      </c>
      <c r="D15" s="310" t="n">
        <v>131103.3</v>
      </c>
      <c r="E15" s="310" t="n">
        <v>138208.69</v>
      </c>
      <c r="F15" s="310" t="n">
        <v>567472.04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481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9844.75</v>
      </c>
      <c r="U15" s="26" t="n"/>
      <c r="W15" s="238" t="n">
        <v>22623.45</v>
      </c>
      <c r="X15" s="297">
        <f>W15/1.15</f>
        <v/>
      </c>
      <c r="Z15" s="238" t="n">
        <v>16071.9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285667.41</v>
      </c>
      <c r="C5" s="310" t="n">
        <v>234804.6</v>
      </c>
      <c r="D5" s="310" t="n">
        <v>215508.03</v>
      </c>
      <c r="E5" s="310" t="n">
        <v>316746.1</v>
      </c>
      <c r="F5" s="310" t="n">
        <v>223634.12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3679.79</v>
      </c>
      <c r="U5" s="9" t="n"/>
      <c r="W5" s="260" t="n"/>
      <c r="X5" s="297">
        <f>W5/1.15</f>
        <v/>
      </c>
      <c r="Z5" s="238" t="n">
        <v>29417.5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241715.58</v>
      </c>
      <c r="C6" s="310" t="n">
        <v>383307.6</v>
      </c>
      <c r="D6" s="310" t="n">
        <v>276171.59</v>
      </c>
      <c r="E6" s="310" t="n">
        <v>255825.42</v>
      </c>
      <c r="F6" s="310" t="n">
        <v>179143.91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741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12777.54</v>
      </c>
      <c r="U6" s="26" t="n"/>
      <c r="W6" s="238" t="n">
        <v>49548.92</v>
      </c>
      <c r="X6" s="297">
        <f>W6/1.15</f>
        <v/>
      </c>
      <c r="Z6" s="238" t="n">
        <v>23253.14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248794.84</v>
      </c>
      <c r="C7" s="310" t="n">
        <v>296557.98</v>
      </c>
      <c r="D7" s="310" t="n">
        <v>249569.36</v>
      </c>
      <c r="E7" s="310" t="n">
        <v>299885.07</v>
      </c>
      <c r="F7" s="310" t="n">
        <v>214093.1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832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10438.21</v>
      </c>
      <c r="U7" s="26" t="n"/>
      <c r="W7" s="238" t="n">
        <v>54070.99</v>
      </c>
      <c r="X7" s="297">
        <f>W7/1.15</f>
        <v/>
      </c>
      <c r="Z7" s="238" t="n">
        <v>3827.51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163499.22</v>
      </c>
      <c r="C8" s="310" t="n">
        <v>133257.3</v>
      </c>
      <c r="D8" s="310" t="n">
        <v>155549.5</v>
      </c>
      <c r="E8" s="310" t="n">
        <v>187699.08</v>
      </c>
      <c r="F8" s="310" t="n">
        <v>113182.5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540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5937.8</v>
      </c>
      <c r="U8" s="9" t="n"/>
      <c r="W8" s="238" t="n">
        <v>49244.99</v>
      </c>
      <c r="X8" s="297">
        <f>W8/1.15</f>
        <v/>
      </c>
      <c r="Z8" s="238" t="n">
        <v>25333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231934.4</v>
      </c>
      <c r="C9" s="310" t="n">
        <v>242832.81</v>
      </c>
      <c r="D9" s="310" t="n">
        <v>214680.88</v>
      </c>
      <c r="E9" s="310" t="n">
        <v>236228.94</v>
      </c>
      <c r="F9" s="310" t="n">
        <v>154256.86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785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7349</v>
      </c>
      <c r="U9" s="26" t="n"/>
      <c r="W9" s="238" t="n">
        <v>44942.28</v>
      </c>
      <c r="X9" s="297">
        <f>W9/1.15</f>
        <v/>
      </c>
      <c r="Z9" s="238" t="n">
        <v>29158.91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313779.59</v>
      </c>
      <c r="C10" s="310" t="n">
        <v>384641.91</v>
      </c>
      <c r="D10" s="310" t="n">
        <v>311887.54</v>
      </c>
      <c r="E10" s="310" t="n">
        <v>472242.15</v>
      </c>
      <c r="F10" s="310" t="n">
        <v>333196.58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1239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20998.3</v>
      </c>
      <c r="U10" s="26" t="n"/>
      <c r="W10" s="238" t="n">
        <v>40334.61</v>
      </c>
      <c r="X10" s="297">
        <f>W10/1.15</f>
        <v/>
      </c>
      <c r="Z10" s="238" t="n">
        <v>28874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188003.06</v>
      </c>
      <c r="C11" s="310" t="n">
        <v>127269.54</v>
      </c>
      <c r="D11" s="310" t="n">
        <v>142037.23</v>
      </c>
      <c r="E11" s="310" t="n">
        <v>196747.98</v>
      </c>
      <c r="F11" s="310" t="n">
        <v>135854.29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632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5501.38</v>
      </c>
      <c r="U11" s="26" t="n"/>
      <c r="W11" s="238" t="n">
        <v>59090.34</v>
      </c>
      <c r="X11" s="297">
        <f>W11/1.15</f>
        <v/>
      </c>
      <c r="Z11" s="238" t="n">
        <v>39193.35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222526.87</v>
      </c>
      <c r="C12" s="310" t="n">
        <v>225430.06</v>
      </c>
      <c r="D12" s="310" t="n">
        <v>170425.3</v>
      </c>
      <c r="E12" s="310" t="n">
        <v>249991.27</v>
      </c>
      <c r="F12" s="310" t="n">
        <v>158469.51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836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6143</v>
      </c>
      <c r="U12" s="9" t="n"/>
      <c r="W12" s="238" t="n">
        <v>34208.02</v>
      </c>
      <c r="X12" s="297">
        <f>W12/1.15</f>
        <v/>
      </c>
      <c r="Z12" s="238" t="n">
        <v>47588.67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196663.77</v>
      </c>
      <c r="C13" s="310" t="n">
        <v>234073.41</v>
      </c>
      <c r="D13" s="310" t="n">
        <v>171537.9</v>
      </c>
      <c r="E13" s="310" t="n">
        <v>219139.93</v>
      </c>
      <c r="F13" s="310" t="n">
        <v>146718.66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789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6711.25</v>
      </c>
      <c r="U13" s="9" t="n"/>
      <c r="W13" s="238" t="n">
        <v>33044.49</v>
      </c>
      <c r="X13" s="297">
        <f>W13/1.15</f>
        <v/>
      </c>
      <c r="Z13" s="238" t="n">
        <v>30518.85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178420.43</v>
      </c>
      <c r="C14" s="310" t="n">
        <v>191019.57</v>
      </c>
      <c r="D14" s="310" t="n">
        <v>150479.33</v>
      </c>
      <c r="E14" s="310" t="n">
        <v>195308.32</v>
      </c>
      <c r="F14" s="310" t="n">
        <v>126596.67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592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7347.6</v>
      </c>
      <c r="U14" s="26" t="n"/>
      <c r="W14" s="238" t="n">
        <v>61536.61</v>
      </c>
      <c r="X14" s="297">
        <f>W14/1.15</f>
        <v/>
      </c>
      <c r="Z14" s="238" t="n">
        <v>26495.85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138208.69</v>
      </c>
      <c r="C15" s="310" t="n">
        <v>162809.36</v>
      </c>
      <c r="D15" s="310" t="n">
        <v>143967.6</v>
      </c>
      <c r="E15" s="310" t="n">
        <v>163235.68</v>
      </c>
      <c r="F15" s="310" t="n">
        <v>106778.43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13425.5</v>
      </c>
      <c r="U15" s="26" t="n"/>
      <c r="W15" s="238" t="n">
        <v>22786.1</v>
      </c>
      <c r="X15" s="297">
        <f>W15/1.15</f>
        <v/>
      </c>
      <c r="Z15" s="238" t="n">
        <v>26815.5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316746.1</v>
      </c>
      <c r="C5" s="310" t="n">
        <v>423907.22</v>
      </c>
      <c r="D5" s="310" t="n">
        <v>324926.32</v>
      </c>
      <c r="E5" s="310" t="n">
        <v>531765.01</v>
      </c>
      <c r="F5" s="310" t="n">
        <v>755399.13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1423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2702.6</v>
      </c>
      <c r="U5" s="9" t="n"/>
      <c r="W5" s="260" t="n"/>
      <c r="X5" s="297">
        <f>W5/1.15</f>
        <v/>
      </c>
      <c r="Z5" s="238" t="n">
        <v>51459.5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255825.42</v>
      </c>
      <c r="C6" s="310" t="n">
        <v>423448.09</v>
      </c>
      <c r="D6" s="310" t="n">
        <v>253420.14</v>
      </c>
      <c r="E6" s="310" t="n">
        <v>258692</v>
      </c>
      <c r="F6" s="310" t="n">
        <v>437835.91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746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11425.93</v>
      </c>
      <c r="U6" s="26" t="n"/>
      <c r="W6" s="238" t="n">
        <v>56900.8</v>
      </c>
      <c r="X6" s="297">
        <f>W6/1.15</f>
        <v/>
      </c>
      <c r="Z6" s="238" t="n">
        <v>23553.1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299885.07</v>
      </c>
      <c r="C7" s="310" t="n">
        <v>316187.89</v>
      </c>
      <c r="D7" s="310" t="n">
        <v>221100.21</v>
      </c>
      <c r="E7" s="310" t="n">
        <v>279468.55</v>
      </c>
      <c r="F7" s="310" t="n">
        <v>493561.65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791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19701.44</v>
      </c>
      <c r="U7" s="26" t="n"/>
      <c r="W7" s="238" t="n">
        <v>46518.66</v>
      </c>
      <c r="X7" s="297">
        <f>W7/1.15</f>
        <v/>
      </c>
      <c r="Z7" s="238" t="n">
        <v>10830.09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187699.08</v>
      </c>
      <c r="C8" s="310" t="n">
        <v>171875.61</v>
      </c>
      <c r="D8" s="310" t="n">
        <v>129659.6</v>
      </c>
      <c r="E8" s="310" t="n">
        <v>185160.1</v>
      </c>
      <c r="F8" s="310" t="n">
        <v>298342.6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560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7043</v>
      </c>
      <c r="U8" s="9" t="n"/>
      <c r="W8" s="238" t="n">
        <v>39566.49</v>
      </c>
      <c r="X8" s="297">
        <f>W8/1.15</f>
        <v/>
      </c>
      <c r="Z8" s="238" t="n">
        <v>24512.43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236228.94</v>
      </c>
      <c r="C9" s="310" t="n">
        <v>219828.87</v>
      </c>
      <c r="D9" s="310" t="n">
        <v>207065.35</v>
      </c>
      <c r="E9" s="310" t="n">
        <v>220919.26</v>
      </c>
      <c r="F9" s="310" t="n">
        <v>375176.12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732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10753</v>
      </c>
      <c r="U9" s="26" t="n"/>
      <c r="W9" s="238" t="n">
        <v>39747.18</v>
      </c>
      <c r="X9" s="297">
        <f>W9/1.15</f>
        <v/>
      </c>
      <c r="Z9" s="238" t="n">
        <v>30902.28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472242.15</v>
      </c>
      <c r="C10" s="310" t="n">
        <v>537525.52</v>
      </c>
      <c r="D10" s="310" t="n">
        <v>341822.34</v>
      </c>
      <c r="E10" s="310" t="n">
        <v>472314.1</v>
      </c>
      <c r="F10" s="310" t="n">
        <v>805510.6800000001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1186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30240.96</v>
      </c>
      <c r="U10" s="26" t="n"/>
      <c r="W10" s="238" t="n">
        <v>34151.28</v>
      </c>
      <c r="X10" s="297">
        <f>W10/1.15</f>
        <v/>
      </c>
      <c r="Z10" s="238" t="n">
        <v>44193.8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196747.98</v>
      </c>
      <c r="C11" s="310" t="n">
        <v>129151.53</v>
      </c>
      <c r="D11" s="310" t="n">
        <v>128162.21</v>
      </c>
      <c r="E11" s="310" t="n">
        <v>168387.31</v>
      </c>
      <c r="F11" s="310" t="n">
        <v>304241.6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500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3383</v>
      </c>
      <c r="U11" s="26" t="n"/>
      <c r="W11" s="238" t="n">
        <v>49126.68</v>
      </c>
      <c r="X11" s="297">
        <f>W11/1.15</f>
        <v/>
      </c>
      <c r="Z11" s="238" t="n">
        <v>31648.65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249991.27</v>
      </c>
      <c r="C12" s="310" t="n">
        <v>248340.4</v>
      </c>
      <c r="D12" s="310" t="n">
        <v>167187.51</v>
      </c>
      <c r="E12" s="310" t="n">
        <v>249752.54</v>
      </c>
      <c r="F12" s="310" t="n">
        <v>408222.05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828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10002.5</v>
      </c>
      <c r="U12" s="9" t="n"/>
      <c r="W12" s="238" t="n">
        <v>42125.17</v>
      </c>
      <c r="X12" s="297">
        <f>W12/1.15</f>
        <v/>
      </c>
      <c r="Z12" s="238" t="n">
        <v>32871.32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219139.93</v>
      </c>
      <c r="C13" s="310" t="n">
        <v>189552.3</v>
      </c>
      <c r="D13" s="310" t="n">
        <v>182335.29</v>
      </c>
      <c r="E13" s="310" t="n">
        <v>202404.23</v>
      </c>
      <c r="F13" s="310" t="n">
        <v>349122.89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648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7395.5</v>
      </c>
      <c r="U13" s="9" t="n"/>
      <c r="W13" s="238" t="n">
        <v>25903.42</v>
      </c>
      <c r="X13" s="297">
        <f>W13/1.15</f>
        <v/>
      </c>
      <c r="Z13" s="238" t="n">
        <v>30759.07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195308.32</v>
      </c>
      <c r="C14" s="310" t="n">
        <v>461868.74</v>
      </c>
      <c r="D14" s="310" t="n">
        <v>174496.27</v>
      </c>
      <c r="E14" s="310" t="n">
        <v>190583.74</v>
      </c>
      <c r="F14" s="310" t="n">
        <v>317180.41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547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6391.3</v>
      </c>
      <c r="U14" s="26" t="n"/>
      <c r="W14" s="238" t="n">
        <v>49192.67</v>
      </c>
      <c r="X14" s="297">
        <f>W14/1.15</f>
        <v/>
      </c>
      <c r="Z14" s="238" t="n">
        <v>24148.68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163235.68</v>
      </c>
      <c r="C15" s="310" t="n">
        <v>140709.13</v>
      </c>
      <c r="D15" s="310" t="n">
        <v>122087.36</v>
      </c>
      <c r="E15" s="310" t="n">
        <v>199997.88</v>
      </c>
      <c r="F15" s="310" t="n">
        <v>306776.31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582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10555.75</v>
      </c>
      <c r="U15" s="26" t="n"/>
      <c r="W15" s="238" t="n">
        <v>26080.37</v>
      </c>
      <c r="X15" s="297">
        <f>W15/1.15</f>
        <v/>
      </c>
      <c r="Z15" s="238" t="n">
        <v>26491.5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43" t="n">
        <v>531765.01</v>
      </c>
      <c r="C5" s="310" t="n">
        <v>721819.17</v>
      </c>
      <c r="D5" s="310" t="n">
        <v>547738.16</v>
      </c>
      <c r="E5" s="310" t="n">
        <v>753851.76</v>
      </c>
      <c r="F5" s="310" t="n">
        <v>1509250.89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1931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3319.2</v>
      </c>
      <c r="U5" s="9" t="n"/>
      <c r="W5" s="260" t="n"/>
      <c r="X5" s="297">
        <f>W5/1.15</f>
        <v/>
      </c>
      <c r="Z5" t="n">
        <v>66412</v>
      </c>
      <c r="AA5" s="297">
        <f>SUM(Z5)/1.15</f>
        <v/>
      </c>
    </row>
    <row r="6" ht="15.6" customHeight="1">
      <c r="A6" s="406" t="inlineStr">
        <is>
          <t>Eagles Landing</t>
        </is>
      </c>
      <c r="B6" s="344" t="n">
        <v>258692</v>
      </c>
      <c r="C6" s="310" t="n">
        <v>311404.3</v>
      </c>
      <c r="D6" s="310" t="n">
        <v>234819.58</v>
      </c>
      <c r="E6" s="310" t="n">
        <v>262332.98</v>
      </c>
      <c r="F6" s="310" t="n">
        <v>700168.89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785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11522.35</v>
      </c>
      <c r="U6" s="26" t="n"/>
      <c r="W6" t="n">
        <v>56224.2</v>
      </c>
      <c r="X6" s="297">
        <f>W6/1.15</f>
        <v/>
      </c>
      <c r="Z6" t="n">
        <v>26604.31</v>
      </c>
      <c r="AA6" s="297">
        <f>SUM(Z6)/1.15</f>
        <v/>
      </c>
    </row>
    <row r="7" ht="16.5" customHeight="1">
      <c r="A7" s="406" t="inlineStr">
        <is>
          <t>Irene Village</t>
        </is>
      </c>
      <c r="B7" s="344" t="n">
        <v>279468.55</v>
      </c>
      <c r="C7" s="310" t="n">
        <v>332934.52</v>
      </c>
      <c r="D7" s="310" t="n">
        <v>247695.9</v>
      </c>
      <c r="E7" s="310" t="n">
        <v>324105.99</v>
      </c>
      <c r="F7" s="310" t="n">
        <v>817667.64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19509.4</v>
      </c>
      <c r="U7" s="26" t="n"/>
      <c r="W7" t="n">
        <v>48584.68</v>
      </c>
      <c r="X7" s="297">
        <f>W7/1.15</f>
        <v/>
      </c>
      <c r="Z7" t="n">
        <v>4223.58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44" t="n">
        <v>185160.1</v>
      </c>
      <c r="C8" s="310" t="n">
        <v>121137.18</v>
      </c>
      <c r="D8" s="310" t="n">
        <v>138069.95</v>
      </c>
      <c r="E8" s="310" t="n">
        <v>179927.33</v>
      </c>
      <c r="F8" s="310" t="n">
        <v>478269.93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580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5320.5</v>
      </c>
      <c r="U8" s="9" t="n"/>
      <c r="W8" t="n">
        <v>36457.05</v>
      </c>
      <c r="X8" s="297">
        <f>W8/1.15</f>
        <v/>
      </c>
      <c r="Z8" t="n">
        <v>25589.79</v>
      </c>
      <c r="AA8" s="297">
        <f>SUM(Z8)/1.15</f>
        <v/>
      </c>
    </row>
    <row r="9" ht="15.6" customHeight="1">
      <c r="A9" s="160" t="inlineStr">
        <is>
          <t>Lynnwood</t>
        </is>
      </c>
      <c r="B9" s="344" t="n">
        <v>220919.26</v>
      </c>
      <c r="C9" s="310" t="n">
        <v>199187.93</v>
      </c>
      <c r="D9" s="310" t="n">
        <v>192364.64</v>
      </c>
      <c r="E9" s="310" t="n">
        <v>252958.38</v>
      </c>
      <c r="F9" s="310" t="n">
        <v>628134.5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782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9582</v>
      </c>
      <c r="U9" s="26" t="n"/>
      <c r="W9" t="n">
        <v>35324.64</v>
      </c>
      <c r="X9" s="297">
        <f>W9/1.15</f>
        <v/>
      </c>
      <c r="Z9" t="n">
        <v>29649.9</v>
      </c>
      <c r="AA9" s="297">
        <f>SUM(Z9)/1.15</f>
        <v/>
      </c>
    </row>
    <row r="10" ht="15.6" customHeight="1">
      <c r="A10" s="406" t="inlineStr">
        <is>
          <t>Melrose Arch</t>
        </is>
      </c>
      <c r="B10" s="344" t="n">
        <v>472314.1</v>
      </c>
      <c r="C10" s="310" t="n">
        <v>503613.1</v>
      </c>
      <c r="D10" s="310" t="n">
        <v>416851.52</v>
      </c>
      <c r="E10" s="310" t="n">
        <v>555577.92</v>
      </c>
      <c r="F10" s="310" t="n">
        <v>1361088.6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1432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29932.2</v>
      </c>
      <c r="U10" s="26" t="n"/>
      <c r="W10" t="n">
        <v>46769.96</v>
      </c>
      <c r="X10" s="297">
        <f>W10/1.15</f>
        <v/>
      </c>
      <c r="Z10" t="n">
        <v>36333</v>
      </c>
      <c r="AA10" s="297">
        <f>SUM(Z10)/1.15</f>
        <v/>
      </c>
    </row>
    <row r="11" ht="15.6" customHeight="1">
      <c r="A11" s="406" t="inlineStr">
        <is>
          <t>Melville</t>
        </is>
      </c>
      <c r="B11" s="344" t="n">
        <v>168387.31</v>
      </c>
      <c r="C11" s="310" t="n">
        <v>105968.29</v>
      </c>
      <c r="D11" s="310" t="n">
        <v>128373.96</v>
      </c>
      <c r="E11" s="310" t="n">
        <v>142448.66</v>
      </c>
      <c r="F11" s="310" t="n">
        <v>446690.26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463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2520</v>
      </c>
      <c r="U11" s="26" t="n"/>
      <c r="W11" t="n">
        <v>57665.26</v>
      </c>
      <c r="X11" s="297">
        <f>W11/1.15</f>
        <v/>
      </c>
      <c r="Z11" t="n">
        <v>19526.3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44" t="n">
        <v>249752.54</v>
      </c>
      <c r="C12" s="310" t="n">
        <v>210622.19</v>
      </c>
      <c r="D12" s="310" t="n">
        <v>169389.41</v>
      </c>
      <c r="E12" s="310" t="n">
        <v>236135.13</v>
      </c>
      <c r="F12" s="310" t="n">
        <v>644357.1800000001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789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6537.5</v>
      </c>
      <c r="U12" s="9" t="n"/>
      <c r="W12" t="n">
        <v>43807.08</v>
      </c>
      <c r="X12" s="297">
        <f>W12/1.15</f>
        <v/>
      </c>
      <c r="Z12" t="n">
        <v>38679.06</v>
      </c>
      <c r="AA12" s="297">
        <f>SUM(Z12)/1.15</f>
        <v/>
      </c>
    </row>
    <row r="13" ht="15.6" customHeight="1">
      <c r="A13" s="160" t="inlineStr">
        <is>
          <t>Queenswood</t>
        </is>
      </c>
      <c r="B13" s="344" t="n">
        <v>202404.23</v>
      </c>
      <c r="C13" s="310" t="n">
        <v>157671.4</v>
      </c>
      <c r="D13" s="310" t="n">
        <v>170896.01</v>
      </c>
      <c r="E13" s="310" t="n">
        <v>208318.73</v>
      </c>
      <c r="F13" s="310" t="n">
        <v>557441.62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678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7263.25</v>
      </c>
      <c r="U13" s="9" t="n"/>
      <c r="W13" t="n">
        <v>26714.44</v>
      </c>
      <c r="X13" s="297">
        <f>W13/1.15</f>
        <v/>
      </c>
      <c r="Z13" t="n">
        <v>30894.1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45" t="n">
        <v>190583.74</v>
      </c>
      <c r="C14" s="310" t="n">
        <v>115192.67</v>
      </c>
      <c r="D14" s="310" t="n">
        <v>150716.72</v>
      </c>
      <c r="E14" s="310" t="n">
        <v>171701.27</v>
      </c>
      <c r="F14" s="310" t="n">
        <v>488881.68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481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7598.5</v>
      </c>
      <c r="U14" s="26" t="n"/>
      <c r="W14" t="n">
        <v>34196.79</v>
      </c>
      <c r="X14" s="297">
        <f>W14/1.15</f>
        <v/>
      </c>
      <c r="Z14" t="n">
        <v>26866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46" t="n">
        <v>199997.88</v>
      </c>
      <c r="C15" s="310" t="n">
        <v>149883.34</v>
      </c>
      <c r="D15" s="310" t="n">
        <v>124306.15</v>
      </c>
      <c r="E15" s="310" t="n">
        <v>176180.25</v>
      </c>
      <c r="F15" s="310" t="n">
        <v>482956.56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548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8041</v>
      </c>
      <c r="U15" s="26" t="n"/>
      <c r="W15" t="n">
        <v>20697.11</v>
      </c>
      <c r="X15" s="297">
        <f>W15/1.15</f>
        <v/>
      </c>
      <c r="Z15" t="n">
        <v>23810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753851.76</v>
      </c>
      <c r="C5" s="310" t="n">
        <v>721819.17</v>
      </c>
      <c r="D5" s="310" t="n">
        <v>823747.6800000001</v>
      </c>
      <c r="E5" s="310" t="n">
        <v>1055996.24</v>
      </c>
      <c r="F5" s="310" t="n"/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2540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2684.9</v>
      </c>
      <c r="U5" s="9" t="n"/>
      <c r="W5" s="260" t="n"/>
      <c r="X5" s="297">
        <f>W5/1.15</f>
        <v/>
      </c>
      <c r="Z5" t="n">
        <v>96165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262332.98</v>
      </c>
      <c r="C6" s="310" t="n">
        <v>311404.3</v>
      </c>
      <c r="D6" s="310" t="n">
        <v>181752.95</v>
      </c>
      <c r="E6" s="310" t="n">
        <v>193464.29</v>
      </c>
      <c r="F6" s="310" t="n">
        <v>893633.1800000001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554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7758.76</v>
      </c>
      <c r="U6" s="26" t="n"/>
      <c r="W6" t="n">
        <v>39174.53</v>
      </c>
      <c r="X6" s="297">
        <f>W6/1.15</f>
        <v/>
      </c>
      <c r="Z6" t="n">
        <v>26337.5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324105.99</v>
      </c>
      <c r="C7" s="310" t="n">
        <v>332934.52</v>
      </c>
      <c r="D7" s="310" t="n">
        <v>198665.22</v>
      </c>
      <c r="E7" s="310" t="n">
        <v>231394.79</v>
      </c>
      <c r="F7" s="310" t="n">
        <v>1049062.43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631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5035</v>
      </c>
      <c r="U7" s="26" t="n"/>
      <c r="W7" t="n">
        <v>26706.66</v>
      </c>
      <c r="X7" s="297">
        <f>W7/1.15</f>
        <v/>
      </c>
      <c r="Z7" t="n">
        <v>4791.9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179927.33</v>
      </c>
      <c r="C8" s="310" t="n">
        <v>121137.18</v>
      </c>
      <c r="D8" s="310" t="n">
        <v>113375.82</v>
      </c>
      <c r="E8" s="310" t="n">
        <v>120914.87</v>
      </c>
      <c r="F8" s="310" t="n">
        <v>599184.8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399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5969.15</v>
      </c>
      <c r="U8" s="9" t="n"/>
      <c r="W8" t="n">
        <v>26314.45</v>
      </c>
      <c r="X8" s="297">
        <f>W8/1.15</f>
        <v/>
      </c>
      <c r="Z8" t="n">
        <v>12879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252958.38</v>
      </c>
      <c r="C9" s="310" t="n">
        <v>199187.93</v>
      </c>
      <c r="D9" s="310" t="n">
        <v>131166</v>
      </c>
      <c r="E9" s="310" t="n">
        <v>147743.62</v>
      </c>
      <c r="F9" s="310" t="n">
        <v>775878.12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474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6832.5</v>
      </c>
      <c r="U9" s="26" t="n"/>
      <c r="W9" t="n">
        <v>18266.46</v>
      </c>
      <c r="X9" s="297">
        <f>W9/1.15</f>
        <v/>
      </c>
      <c r="Z9" t="n">
        <v>17717.97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555577.92</v>
      </c>
      <c r="C10" s="310" t="n">
        <v>503613.1</v>
      </c>
      <c r="D10" s="310" t="n">
        <v>355451.46</v>
      </c>
      <c r="E10" s="310" t="n">
        <v>394039.6</v>
      </c>
      <c r="F10" s="310" t="n">
        <v>1755128.2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949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21768.05</v>
      </c>
      <c r="U10" s="26" t="n"/>
      <c r="W10" t="n">
        <v>26690.82</v>
      </c>
      <c r="X10" s="297">
        <f>W10/1.15</f>
        <v/>
      </c>
      <c r="Z10" t="n">
        <v>19752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142448.66</v>
      </c>
      <c r="C11" s="310" t="n">
        <v>105968.29</v>
      </c>
      <c r="D11" s="310" t="n">
        <v>101312.03</v>
      </c>
      <c r="E11" s="310" t="n">
        <v>104594.63</v>
      </c>
      <c r="F11" s="310" t="n">
        <v>551284.89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327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5471.5</v>
      </c>
      <c r="U11" s="26" t="n"/>
      <c r="W11" t="n">
        <v>39132.08</v>
      </c>
      <c r="X11" s="297">
        <f>W11/1.15</f>
        <v/>
      </c>
      <c r="Z11" t="n">
        <v>17281.4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236135.13</v>
      </c>
      <c r="C12" s="310" t="n">
        <v>210622.19</v>
      </c>
      <c r="D12" s="310" t="n">
        <v>133738.32</v>
      </c>
      <c r="E12" s="310" t="n">
        <v>164356.99</v>
      </c>
      <c r="F12" s="310" t="n">
        <v>808714.17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564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6503.5</v>
      </c>
      <c r="U12" s="9" t="n"/>
      <c r="W12" t="n">
        <v>32554.61</v>
      </c>
      <c r="X12" s="297">
        <f>W12/1.15</f>
        <v/>
      </c>
      <c r="Z12" t="n">
        <v>23795.56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208318.73</v>
      </c>
      <c r="C13" s="310" t="n">
        <v>157671.4</v>
      </c>
      <c r="D13" s="310" t="n">
        <v>111902.84</v>
      </c>
      <c r="E13" s="310" t="n">
        <v>146821.74</v>
      </c>
      <c r="F13" s="310" t="n">
        <v>704263.36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482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4648.5</v>
      </c>
      <c r="U13" s="9" t="n"/>
      <c r="W13" t="n">
        <v>18278.89</v>
      </c>
      <c r="X13" s="297">
        <f>W13/1.15</f>
        <v/>
      </c>
      <c r="Z13" t="n">
        <v>19070.65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171701.27</v>
      </c>
      <c r="C14" s="310" t="n">
        <v>115192.67</v>
      </c>
      <c r="D14" s="310" t="n">
        <v>105459.75</v>
      </c>
      <c r="E14" s="310" t="n">
        <v>114168.13</v>
      </c>
      <c r="F14" s="310" t="n">
        <v>603049.8100000001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331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7846.2</v>
      </c>
      <c r="U14" s="26" t="n"/>
      <c r="W14" t="n">
        <v>22492.27</v>
      </c>
      <c r="X14" s="297">
        <f>W14/1.15</f>
        <v/>
      </c>
      <c r="Z14" t="n">
        <v>13688.5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176180.25</v>
      </c>
      <c r="C15" s="310" t="n">
        <v>149883.34</v>
      </c>
      <c r="D15" s="310" t="n">
        <v>92137.78</v>
      </c>
      <c r="E15" s="310" t="n">
        <v>114185.38</v>
      </c>
      <c r="F15" s="310" t="n">
        <v>597141.9399999999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415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7648.6</v>
      </c>
      <c r="U15" s="26" t="n"/>
      <c r="W15" t="n">
        <v>12218.53</v>
      </c>
      <c r="X15" s="297">
        <f>W15/1.15</f>
        <v/>
      </c>
      <c r="Z15" t="n">
        <v>9464.58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2021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2021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1055996.24</v>
      </c>
      <c r="C5" s="310" t="n">
        <v>946806.42</v>
      </c>
      <c r="D5" s="310" t="n">
        <v>1157280.81</v>
      </c>
      <c r="E5" s="310" t="n">
        <v>1359614.32</v>
      </c>
      <c r="F5" s="310" t="n">
        <v>3924861.45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3380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4082.65</v>
      </c>
      <c r="U5" s="9" t="n"/>
      <c r="W5" s="260" t="n"/>
      <c r="X5" s="297">
        <f>W5/1.15</f>
        <v/>
      </c>
      <c r="Z5" t="n">
        <v>118284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193464.29</v>
      </c>
      <c r="C6" s="310" t="n">
        <v>297952.08</v>
      </c>
      <c r="D6" s="310" t="n">
        <v>169474.37</v>
      </c>
      <c r="E6" s="310" t="n">
        <v>213926.58</v>
      </c>
      <c r="F6" s="310" t="n">
        <v>1107559.76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648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14192.44</v>
      </c>
      <c r="U6" s="26" t="n"/>
      <c r="W6" t="n">
        <v>55540.8</v>
      </c>
      <c r="X6" s="297">
        <f>W6/1.15</f>
        <v/>
      </c>
      <c r="Z6" t="n">
        <v>21256.66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231394.79</v>
      </c>
      <c r="C7" s="310" t="n">
        <v>303061.96</v>
      </c>
      <c r="D7" s="310" t="n">
        <v>212769.56</v>
      </c>
      <c r="E7" s="310" t="n">
        <v>227415.57</v>
      </c>
      <c r="F7" s="310" t="n">
        <v>1276478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656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6630.73</v>
      </c>
      <c r="U7" s="26" t="n"/>
      <c r="W7" t="n">
        <v>63793.99</v>
      </c>
      <c r="X7" s="297">
        <f>W7/1.15</f>
        <v/>
      </c>
      <c r="Z7" t="n">
        <v>2010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120914.87</v>
      </c>
      <c r="C8" s="310" t="n">
        <v>110995.82</v>
      </c>
      <c r="D8" s="310" t="n">
        <v>117099.44</v>
      </c>
      <c r="E8" s="310" t="n">
        <v>133084.52</v>
      </c>
      <c r="F8" s="310" t="n">
        <v>732269.3199999999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441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5649.05</v>
      </c>
      <c r="U8" s="9" t="n"/>
      <c r="W8" t="n">
        <v>40230.6</v>
      </c>
      <c r="X8" s="297">
        <f>W8/1.15</f>
        <v/>
      </c>
      <c r="Z8" t="n">
        <v>19111.13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147743.62</v>
      </c>
      <c r="C9" s="310" t="n">
        <v>173337.25</v>
      </c>
      <c r="D9" s="310" t="n">
        <v>159471.69</v>
      </c>
      <c r="E9" s="310" t="n">
        <v>184636.96</v>
      </c>
      <c r="F9" s="310" t="n">
        <v>960515.08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590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6619.5</v>
      </c>
      <c r="U9" s="26" t="n"/>
      <c r="W9" t="n">
        <v>42106.29</v>
      </c>
      <c r="X9" s="297">
        <f>W9/1.15</f>
        <v/>
      </c>
      <c r="Z9" t="n">
        <v>29508.13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394039.6</v>
      </c>
      <c r="C10" s="310" t="n">
        <v>294354.45</v>
      </c>
      <c r="D10" s="310" t="n">
        <v>294055.23</v>
      </c>
      <c r="E10" s="310" t="n">
        <v>330942.74</v>
      </c>
      <c r="F10" s="310" t="n">
        <v>2086070.94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914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18755.83</v>
      </c>
      <c r="U10" s="26" t="n"/>
      <c r="W10" t="n">
        <v>50245.38</v>
      </c>
      <c r="X10" s="297">
        <f>W10/1.15</f>
        <v/>
      </c>
      <c r="Z10" t="n">
        <v>17947.97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104594.63</v>
      </c>
      <c r="C11" s="310" t="n">
        <v>75621.75999999999</v>
      </c>
      <c r="D11" s="310" t="n">
        <v>92659.32000000001</v>
      </c>
      <c r="E11" s="310" t="n">
        <v>108000.89</v>
      </c>
      <c r="F11" s="310" t="n">
        <v>659285.78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4048.37</v>
      </c>
      <c r="U11" s="26" t="n"/>
      <c r="W11" t="n">
        <v>61207.64</v>
      </c>
      <c r="X11" s="297">
        <f>W11/1.15</f>
        <v/>
      </c>
      <c r="Z11" t="n">
        <v>15684.09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164356.99</v>
      </c>
      <c r="C12" s="310" t="n">
        <v>172955.81</v>
      </c>
      <c r="D12" s="310" t="n">
        <v>143974.76</v>
      </c>
      <c r="E12" s="310" t="n">
        <v>179247.74</v>
      </c>
      <c r="F12" s="310" t="n">
        <v>987961.91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599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6872</v>
      </c>
      <c r="U12" s="9" t="n"/>
      <c r="W12" t="n">
        <v>45884.19</v>
      </c>
      <c r="X12" s="297">
        <f>W12/1.15</f>
        <v/>
      </c>
      <c r="Z12" t="n">
        <v>27758.32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146821.74</v>
      </c>
      <c r="C13" s="310" t="n">
        <v>213205.46</v>
      </c>
      <c r="D13" s="310" t="n">
        <v>148687.25</v>
      </c>
      <c r="E13" s="310" t="n">
        <v>189985.58</v>
      </c>
      <c r="F13" s="310" t="n">
        <v>894248.9399999999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571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5049.25</v>
      </c>
      <c r="U13" s="9" t="n"/>
      <c r="W13" t="n">
        <v>32517.99</v>
      </c>
      <c r="X13" s="297">
        <f>W13/1.15</f>
        <v/>
      </c>
      <c r="Z13" t="n">
        <v>36878.34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114168.13</v>
      </c>
      <c r="C14" s="310" t="n">
        <v>125085.11</v>
      </c>
      <c r="D14" s="310" t="n">
        <v>146695.37</v>
      </c>
      <c r="E14" s="310" t="n">
        <v>142441.73</v>
      </c>
      <c r="F14" s="310" t="n">
        <v>745491.54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415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2327.5</v>
      </c>
      <c r="U14" s="26" t="n"/>
      <c r="W14" t="n">
        <v>50920.53</v>
      </c>
      <c r="X14" s="297">
        <f>W14/1.15</f>
        <v/>
      </c>
      <c r="Z14" t="n">
        <v>22798.94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114185.38</v>
      </c>
      <c r="C15" s="310" t="n">
        <v>187576.7</v>
      </c>
      <c r="D15" s="310" t="n">
        <v>118160.63</v>
      </c>
      <c r="E15" s="310" t="n">
        <v>125980.13</v>
      </c>
      <c r="F15" s="310" t="n">
        <v>723122.0699999999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410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10814.09</v>
      </c>
      <c r="U15" s="26" t="n"/>
      <c r="W15" t="n">
        <v>19372.07</v>
      </c>
      <c r="X15" s="297">
        <f>W15/1.15</f>
        <v/>
      </c>
      <c r="Z15" t="n">
        <v>15115.95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1359614.32</v>
      </c>
      <c r="C5" s="310" t="n">
        <v>260614.2</v>
      </c>
      <c r="D5" s="310" t="n">
        <v>721790.35</v>
      </c>
      <c r="E5" s="310" t="n">
        <v>972309.74</v>
      </c>
      <c r="F5" s="310" t="n">
        <v>1179329.87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2298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4136.49</v>
      </c>
      <c r="U5" s="9" t="n"/>
      <c r="W5" s="260" t="n"/>
      <c r="X5" s="297">
        <f>W5/1.15</f>
        <v/>
      </c>
      <c r="Z5" t="n">
        <v>82561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213926.58</v>
      </c>
      <c r="C6" s="310" t="n">
        <v>320006.2</v>
      </c>
      <c r="D6" s="310" t="n">
        <v>233137.87</v>
      </c>
      <c r="E6" s="310" t="n">
        <v>246681.54</v>
      </c>
      <c r="F6" s="310" t="n">
        <v>297636.1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775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6669.75</v>
      </c>
      <c r="U6" s="26" t="n"/>
      <c r="W6" t="n">
        <v>51282.55</v>
      </c>
      <c r="X6" s="297">
        <f>W6/1.15</f>
        <v/>
      </c>
      <c r="Z6" t="n">
        <v>23795.67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227415.57</v>
      </c>
      <c r="C7" s="310" t="n">
        <v>282462.92</v>
      </c>
      <c r="D7" s="310" t="n">
        <v>269770.01</v>
      </c>
      <c r="E7" s="310" t="n">
        <v>316128.72</v>
      </c>
      <c r="F7" s="310" t="n">
        <v>316128.72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850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4754.5</v>
      </c>
      <c r="U7" s="26" t="n"/>
      <c r="W7" t="n">
        <v>44857.61</v>
      </c>
      <c r="X7" s="297">
        <f>W7/1.15</f>
        <v/>
      </c>
      <c r="Z7" t="n">
        <v>6752.58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133084.52</v>
      </c>
      <c r="C8" s="310" t="n">
        <v>123295.01</v>
      </c>
      <c r="D8" s="310" t="n">
        <v>135626.71</v>
      </c>
      <c r="E8" s="310" t="n">
        <v>123062.7</v>
      </c>
      <c r="F8" s="310" t="n">
        <v>154985.03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437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3174.75</v>
      </c>
      <c r="U8" s="9" t="n"/>
      <c r="W8" t="n">
        <v>37957.24</v>
      </c>
      <c r="X8" s="297">
        <f>W8/1.15</f>
        <v/>
      </c>
      <c r="Z8" t="n">
        <v>18877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184636.96</v>
      </c>
      <c r="C9" s="310" t="n">
        <v>219380.24</v>
      </c>
      <c r="D9" s="310" t="n">
        <v>194743.68</v>
      </c>
      <c r="E9" s="310" t="n">
        <v>205789.6</v>
      </c>
      <c r="F9" s="310" t="n">
        <v>240339.31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4858.15</v>
      </c>
      <c r="U9" s="26" t="n"/>
      <c r="W9" t="n">
        <v>38994.46</v>
      </c>
      <c r="X9" s="297">
        <f>W9/1.15</f>
        <v/>
      </c>
      <c r="Z9" t="n">
        <v>22856.35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330942.74</v>
      </c>
      <c r="C10" s="310" t="n">
        <v>167793.48</v>
      </c>
      <c r="D10" s="310" t="n">
        <v>219749.59</v>
      </c>
      <c r="E10" s="310" t="n">
        <v>265487.41</v>
      </c>
      <c r="F10" s="310" t="n">
        <v>323035.6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821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10430.36</v>
      </c>
      <c r="U10" s="26" t="n"/>
      <c r="W10" t="n">
        <v>48134.99</v>
      </c>
      <c r="X10" s="297">
        <f>W10/1.15</f>
        <v/>
      </c>
      <c r="Z10" t="n">
        <v>27627.38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108000.89</v>
      </c>
      <c r="C11" s="310" t="n">
        <v>82899.22</v>
      </c>
      <c r="D11" s="310" t="n">
        <v>118823.03</v>
      </c>
      <c r="E11" s="310" t="n">
        <v>116270.71</v>
      </c>
      <c r="F11" s="310" t="n">
        <v>138087.43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391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2697.8</v>
      </c>
      <c r="U11" s="26" t="n"/>
      <c r="W11" t="n">
        <v>49097.1</v>
      </c>
      <c r="X11" s="297">
        <f>W11/1.15</f>
        <v/>
      </c>
      <c r="Z11" t="n">
        <v>16814.17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179247.74</v>
      </c>
      <c r="C12" s="310" t="n">
        <v>189563.77</v>
      </c>
      <c r="D12" s="310" t="n">
        <v>150418.67</v>
      </c>
      <c r="E12" s="310" t="n">
        <v>195028.81</v>
      </c>
      <c r="F12" s="310" t="n">
        <v>239968.56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649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4459</v>
      </c>
      <c r="U12" s="9" t="n"/>
      <c r="W12" t="n">
        <v>35176.91</v>
      </c>
      <c r="X12" s="297">
        <f>W12/1.15</f>
        <v/>
      </c>
      <c r="Z12" t="n">
        <v>29694.64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189985.58</v>
      </c>
      <c r="C13" s="310" t="n">
        <v>0</v>
      </c>
      <c r="D13" s="310" t="n">
        <v>151507.38</v>
      </c>
      <c r="E13" s="310" t="n">
        <v>178940.87</v>
      </c>
      <c r="F13" s="310" t="n">
        <v>213061.47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612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3584.98</v>
      </c>
      <c r="U13" s="9" t="n"/>
      <c r="W13" t="n">
        <v>28570.46</v>
      </c>
      <c r="X13" s="297">
        <f>W13/1.15</f>
        <v/>
      </c>
      <c r="Z13" t="n">
        <v>33403.2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142441.73</v>
      </c>
      <c r="C14" s="310" t="n">
        <v>135753.02</v>
      </c>
      <c r="D14" s="310" t="n">
        <v>133729.15</v>
      </c>
      <c r="E14" s="310" t="n">
        <v>93447.07000000001</v>
      </c>
      <c r="F14" s="310" t="n">
        <v>126734.97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268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1910</v>
      </c>
      <c r="U14" s="26" t="n"/>
      <c r="W14" t="n">
        <v>22984.56</v>
      </c>
      <c r="X14" s="297">
        <f>W14/1.15</f>
        <v/>
      </c>
      <c r="Z14" t="n">
        <v>16504.5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125980.13</v>
      </c>
      <c r="C15" s="310" t="n">
        <v>138417.91</v>
      </c>
      <c r="D15" s="310" t="n">
        <v>116710.34</v>
      </c>
      <c r="E15" s="310" t="n">
        <v>142237.48</v>
      </c>
      <c r="F15" s="310" t="n">
        <v>156690.93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459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1">
        <f>SUM(AA15)</f>
        <v/>
      </c>
      <c r="S15" s="116">
        <f>SUM(R15/E15)</f>
        <v/>
      </c>
      <c r="T15" s="310" t="n">
        <v>2394.9</v>
      </c>
      <c r="U15" s="26" t="n"/>
      <c r="W15" t="n">
        <v>25571.14</v>
      </c>
      <c r="X15" s="297">
        <f>W15/1.15</f>
        <v/>
      </c>
      <c r="Z15" t="n">
        <v>13867.5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972309.74</v>
      </c>
      <c r="C5" s="310" t="n">
        <v>260614.2</v>
      </c>
      <c r="D5" s="310" t="n">
        <v>341457.44</v>
      </c>
      <c r="E5" s="310" t="n">
        <v>487519.46</v>
      </c>
      <c r="F5" s="310" t="n">
        <v>1666849.33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1374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1426.85</v>
      </c>
      <c r="U5" s="9" t="n"/>
      <c r="W5" s="260" t="n"/>
      <c r="X5" s="297">
        <f>W5/1.15</f>
        <v/>
      </c>
      <c r="Z5" t="n">
        <v>41397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246681.54</v>
      </c>
      <c r="C6" s="310" t="n">
        <v>320006.2</v>
      </c>
      <c r="D6" s="310" t="n">
        <v>224244.36</v>
      </c>
      <c r="E6" s="310" t="n">
        <v>216580.11</v>
      </c>
      <c r="F6" s="310" t="n">
        <v>514216.21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703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7037.03</v>
      </c>
      <c r="U6" s="26" t="n"/>
      <c r="W6" t="n">
        <v>45912.19</v>
      </c>
      <c r="X6" s="297">
        <f>W6/1.15</f>
        <v/>
      </c>
      <c r="Z6" t="n">
        <v>16432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316128.72</v>
      </c>
      <c r="C7" s="310" t="n">
        <v>282462.92</v>
      </c>
      <c r="D7" s="310" t="n">
        <v>215802.15</v>
      </c>
      <c r="E7" s="310" t="n">
        <v>240800.82</v>
      </c>
      <c r="F7" s="310" t="n">
        <v>556929.54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727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14958.5</v>
      </c>
      <c r="U7" s="26" t="n"/>
      <c r="W7" t="n">
        <v>47391.13</v>
      </c>
      <c r="X7" s="297">
        <f>W7/1.15</f>
        <v/>
      </c>
      <c r="Z7" t="n">
        <v>775.67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123062.7</v>
      </c>
      <c r="C8" s="310" t="n">
        <v>123295.01</v>
      </c>
      <c r="D8" s="310" t="n">
        <v>119757.44</v>
      </c>
      <c r="E8" s="310" t="n">
        <v>146081.28</v>
      </c>
      <c r="F8" s="310" t="n">
        <v>301066.31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511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4285.2</v>
      </c>
      <c r="U8" s="9" t="n"/>
      <c r="W8" t="n">
        <v>35819.03</v>
      </c>
      <c r="X8" s="297">
        <f>W8/1.15</f>
        <v/>
      </c>
      <c r="Z8" t="n">
        <v>23811.09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205789.6</v>
      </c>
      <c r="C9" s="310" t="n">
        <v>219380.24</v>
      </c>
      <c r="D9" s="310" t="n">
        <v>200323.25</v>
      </c>
      <c r="E9" s="310" t="n">
        <v>195040.42</v>
      </c>
      <c r="F9" s="310" t="n">
        <v>435379.73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671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3657</v>
      </c>
      <c r="U9" s="26" t="n"/>
      <c r="W9" t="n">
        <v>33514.7</v>
      </c>
      <c r="X9" s="297">
        <f>W9/1.15</f>
        <v/>
      </c>
      <c r="Z9" t="n">
        <v>27769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265487.41</v>
      </c>
      <c r="C10" s="310" t="n">
        <v>167793.48</v>
      </c>
      <c r="D10" s="310" t="n">
        <v>181705.05</v>
      </c>
      <c r="E10" s="310" t="n">
        <v>197824.33</v>
      </c>
      <c r="F10" s="310" t="n">
        <v>520859.93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716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9039.5</v>
      </c>
      <c r="U10" s="26" t="n"/>
      <c r="W10" t="n">
        <v>35314.52</v>
      </c>
      <c r="X10" s="297">
        <f>W10/1.15</f>
        <v/>
      </c>
      <c r="Z10" t="n">
        <v>15642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116270.71</v>
      </c>
      <c r="C11" s="310" t="n">
        <v>82899.22</v>
      </c>
      <c r="D11" s="310" t="n">
        <v>121229.64</v>
      </c>
      <c r="E11" s="310" t="n">
        <v>104157.84</v>
      </c>
      <c r="F11" s="310" t="n">
        <v>242245.27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372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3402.75</v>
      </c>
      <c r="U11" s="26" t="n"/>
      <c r="W11" t="n">
        <v>37401.3</v>
      </c>
      <c r="X11" s="297">
        <f>W11/1.15</f>
        <v/>
      </c>
      <c r="Z11" t="n">
        <v>16326.44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195028.81</v>
      </c>
      <c r="C12" s="310" t="n">
        <v>189563.77</v>
      </c>
      <c r="D12" s="310" t="n">
        <v>151945.85</v>
      </c>
      <c r="E12" s="310" t="n">
        <v>220940.37</v>
      </c>
      <c r="F12" s="310" t="n">
        <v>460908.93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702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2813</v>
      </c>
      <c r="U12" s="9" t="n"/>
      <c r="W12" t="n">
        <v>37063.33</v>
      </c>
      <c r="X12" s="297">
        <f>W12/1.15</f>
        <v/>
      </c>
      <c r="Z12" t="n">
        <v>26631.49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178940.87</v>
      </c>
      <c r="C13" s="310" t="n">
        <v>0</v>
      </c>
      <c r="D13" s="310" t="n">
        <v>159101.62</v>
      </c>
      <c r="E13" s="310" t="n">
        <v>172359.56</v>
      </c>
      <c r="F13" s="310" t="n">
        <v>385421.03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584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2962.1</v>
      </c>
      <c r="U13" s="9" t="n"/>
      <c r="W13" t="n">
        <v>16629.28</v>
      </c>
      <c r="X13" s="297">
        <f>W13/1.15</f>
        <v/>
      </c>
      <c r="Z13" t="n">
        <v>29403.79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93447.07000000001</v>
      </c>
      <c r="C14" s="310" t="n">
        <v>135753.02</v>
      </c>
      <c r="D14" s="310" t="n">
        <v>143258.26</v>
      </c>
      <c r="E14" s="310" t="n">
        <v>125133.94</v>
      </c>
      <c r="F14" s="310" t="n">
        <v>287017.08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412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3222</v>
      </c>
      <c r="U14" s="26" t="n"/>
      <c r="W14" t="n">
        <v>36572.98</v>
      </c>
      <c r="X14" s="297">
        <f>W14/1.15</f>
        <v/>
      </c>
      <c r="Z14" t="n">
        <v>23399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142237.48</v>
      </c>
      <c r="C15" s="310" t="n">
        <v>138417.91</v>
      </c>
      <c r="D15" s="310" t="n">
        <v>120604.29</v>
      </c>
      <c r="E15" s="310" t="n">
        <v>131101.34</v>
      </c>
      <c r="F15" s="310" t="n">
        <v>287792.27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449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3184.12</v>
      </c>
      <c r="U15" s="26" t="n"/>
      <c r="W15" t="n">
        <v>19319.83</v>
      </c>
      <c r="X15" s="297">
        <f>W15/1.15</f>
        <v/>
      </c>
      <c r="Z15" t="n">
        <v>14891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487519.46</v>
      </c>
      <c r="C5" s="310" t="n">
        <v>189348.96</v>
      </c>
      <c r="D5" s="310" t="n">
        <v>255303.8</v>
      </c>
      <c r="E5" s="310" t="n">
        <v>320410.36</v>
      </c>
      <c r="F5" s="310" t="n">
        <v>1987259.69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943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3153.9</v>
      </c>
      <c r="U5" s="9" t="n"/>
      <c r="W5" s="260" t="n"/>
      <c r="X5" s="297">
        <f>W5/1.15</f>
        <v/>
      </c>
      <c r="Z5" t="n">
        <v>31430.5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216580.11</v>
      </c>
      <c r="C6" s="310" t="n">
        <v>313579.03</v>
      </c>
      <c r="D6" s="310" t="n">
        <v>228306.74</v>
      </c>
      <c r="E6" s="310" t="n">
        <v>224090.56</v>
      </c>
      <c r="F6" s="310" t="n">
        <v>738306.77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674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7397.8</v>
      </c>
      <c r="U6" s="26" t="n"/>
      <c r="W6" t="n">
        <v>49088.48</v>
      </c>
      <c r="X6" s="297">
        <f>W6/1.15</f>
        <v/>
      </c>
      <c r="Z6" t="n">
        <v>23062.81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240800.82</v>
      </c>
      <c r="C7" s="310" t="n">
        <v>250408.15</v>
      </c>
      <c r="D7" s="310" t="n">
        <v>214627.76</v>
      </c>
      <c r="E7" s="310" t="n">
        <v>237247.77</v>
      </c>
      <c r="F7" s="310" t="n">
        <v>794177.3100000001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664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6075.5</v>
      </c>
      <c r="U7" s="26" t="n"/>
      <c r="W7" t="n">
        <v>40113.63</v>
      </c>
      <c r="X7" s="297">
        <f>W7/1.15</f>
        <v/>
      </c>
      <c r="Z7" t="n">
        <v>4051.89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146081.28</v>
      </c>
      <c r="C8" s="310" t="n">
        <v>121824.18</v>
      </c>
      <c r="D8" s="310" t="n">
        <v>128284.99</v>
      </c>
      <c r="E8" s="310" t="n">
        <v>126608.49</v>
      </c>
      <c r="F8" s="310" t="n">
        <v>427674.8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412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4465</v>
      </c>
      <c r="U8" s="9" t="n"/>
      <c r="W8" t="n">
        <v>29716.42</v>
      </c>
      <c r="X8" s="297">
        <f>W8/1.15</f>
        <v/>
      </c>
      <c r="Z8" t="n">
        <v>16414.32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195040.42</v>
      </c>
      <c r="C9" s="310" t="n">
        <v>198827.43</v>
      </c>
      <c r="D9" s="310" t="n">
        <v>187513.18</v>
      </c>
      <c r="E9" s="310" t="n">
        <v>196915.12</v>
      </c>
      <c r="F9" s="310" t="n">
        <v>632294.85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687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3412.75</v>
      </c>
      <c r="U9" s="26" t="n"/>
      <c r="W9" t="n">
        <v>33284.68</v>
      </c>
      <c r="X9" s="297">
        <f>W9/1.15</f>
        <v/>
      </c>
      <c r="Z9" t="n">
        <v>25317.77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197824.33</v>
      </c>
      <c r="C10" s="310" t="n">
        <v>200795.26</v>
      </c>
      <c r="D10" s="310" t="n">
        <v>180915.8</v>
      </c>
      <c r="E10" s="310" t="n">
        <v>206881.72</v>
      </c>
      <c r="F10" s="310" t="n">
        <v>727741.65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708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10793.16</v>
      </c>
      <c r="U10" s="26" t="n"/>
      <c r="W10" t="n">
        <v>37150.98</v>
      </c>
      <c r="X10" s="297">
        <f>W10/1.15</f>
        <v/>
      </c>
      <c r="Z10" t="n">
        <v>20210.5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104157.84</v>
      </c>
      <c r="C11" s="310" t="n">
        <v>77975.73</v>
      </c>
      <c r="D11" s="310" t="n">
        <v>112994.77</v>
      </c>
      <c r="E11" s="310" t="n">
        <v>111387.59</v>
      </c>
      <c r="F11" s="310" t="n">
        <v>353632.86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388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3008.5</v>
      </c>
      <c r="U11" s="26" t="n"/>
      <c r="W11" t="n">
        <v>36407.38</v>
      </c>
      <c r="X11" s="297">
        <f>W11/1.15</f>
        <v/>
      </c>
      <c r="Z11" t="n">
        <v>20469.67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220940.37</v>
      </c>
      <c r="C12" s="310" t="n">
        <v>198434.85</v>
      </c>
      <c r="D12" s="310" t="n">
        <v>159089.55</v>
      </c>
      <c r="E12" s="310" t="n">
        <v>211949.58</v>
      </c>
      <c r="F12" s="310" t="n">
        <v>672858.51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708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3205</v>
      </c>
      <c r="U12" s="9" t="n"/>
      <c r="W12" t="n">
        <v>37047.74</v>
      </c>
      <c r="X12" s="297">
        <f>W12/1.15</f>
        <v/>
      </c>
      <c r="Z12" t="n">
        <v>28012.66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172359.56</v>
      </c>
      <c r="C13" s="310" t="n"/>
      <c r="D13" s="310" t="n">
        <v>149114.31</v>
      </c>
      <c r="E13" s="310" t="n">
        <v>164303.17</v>
      </c>
      <c r="F13" s="310" t="n">
        <v>549724.2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562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4443.75</v>
      </c>
      <c r="U13" s="9" t="n"/>
      <c r="W13" t="n">
        <v>18352.04</v>
      </c>
      <c r="X13" s="297">
        <f>W13/1.15</f>
        <v/>
      </c>
      <c r="Z13" t="n">
        <v>26557.13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125133.94</v>
      </c>
      <c r="C14" s="310" t="n">
        <v>132398.45</v>
      </c>
      <c r="D14" s="310" t="n">
        <v>136016.39</v>
      </c>
      <c r="E14" s="310" t="n">
        <v>144611.63</v>
      </c>
      <c r="F14" s="310" t="n">
        <v>431628.71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403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1935.5</v>
      </c>
      <c r="U14" s="26" t="n"/>
      <c r="W14" t="n">
        <v>29422.28</v>
      </c>
      <c r="X14" s="297">
        <f>W14/1.15</f>
        <v/>
      </c>
      <c r="Z14" t="n">
        <v>28857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131101.34</v>
      </c>
      <c r="C15" s="310" t="n">
        <v>139966.8</v>
      </c>
      <c r="D15" s="310" t="n">
        <v>101802.88</v>
      </c>
      <c r="E15" s="310" t="n">
        <v>135425.29</v>
      </c>
      <c r="F15" s="310" t="n">
        <v>423217.56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476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4255</v>
      </c>
      <c r="U15" s="26" t="n"/>
      <c r="W15" t="n">
        <v>18871.49</v>
      </c>
      <c r="X15" s="297">
        <f>W15/1.15</f>
        <v/>
      </c>
      <c r="Z15" t="n">
        <v>18972.35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baseColWidth="8" defaultRowHeight="14.4"/>
  <cols>
    <col width="23" customWidth="1" min="1" max="1"/>
    <col width="20.88671875" customWidth="1" min="2" max="2"/>
    <col width="20.109375" customWidth="1" min="3" max="3"/>
    <col width="19.6640625" customWidth="1" min="4" max="4"/>
    <col width="21" customWidth="1" min="5" max="5"/>
    <col width="22.33203125" customWidth="1" min="6" max="6"/>
    <col width="12.6640625" bestFit="1" customWidth="1" min="7" max="7"/>
    <col width="12.6640625" customWidth="1" min="8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7" t="n"/>
      <c r="F1" s="7" t="n"/>
      <c r="G1" s="14" t="inlineStr">
        <is>
          <t>% Organic</t>
        </is>
      </c>
      <c r="H1" s="412" t="n"/>
      <c r="I1" s="14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1" t="n"/>
      <c r="F2" s="1" t="n"/>
      <c r="G2" s="400">
        <f>((E4-C4)/C4)</f>
        <v/>
      </c>
      <c r="H2" s="413" t="n"/>
      <c r="I2" s="400">
        <f>((E4-B4)/E4)</f>
        <v/>
      </c>
      <c r="J2" s="34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Bot="1">
      <c r="A3" s="414" t="n"/>
      <c r="B3" s="347" t="inlineStr">
        <is>
          <t>Last Week (Net)</t>
        </is>
      </c>
      <c r="C3" s="113" t="inlineStr">
        <is>
          <t>LAST YEAR (Net) 2019</t>
        </is>
      </c>
      <c r="D3" s="113" t="inlineStr">
        <is>
          <t>LAST YEAR (Net) 2022</t>
        </is>
      </c>
      <c r="E3" s="271" t="inlineStr">
        <is>
          <t>T/Over Net</t>
        </is>
      </c>
      <c r="F3" s="253" t="inlineStr">
        <is>
          <t>Month To Date T/Over</t>
        </is>
      </c>
      <c r="G3" s="253" t="inlineStr">
        <is>
          <t>% to LY 2019</t>
        </is>
      </c>
      <c r="H3" s="253" t="inlineStr">
        <is>
          <t>% to LW 2022</t>
        </is>
      </c>
      <c r="I3" s="250" t="inlineStr">
        <is>
          <t>% to LW</t>
        </is>
      </c>
      <c r="J3" s="236" t="inlineStr">
        <is>
          <t>Invoices</t>
        </is>
      </c>
      <c r="K3" s="253" t="inlineStr">
        <is>
          <t>Avg Spend per Bill</t>
        </is>
      </c>
      <c r="L3" s="113" t="inlineStr">
        <is>
          <t>PROMO Weekly</t>
        </is>
      </c>
      <c r="M3" s="113" t="inlineStr">
        <is>
          <t>% To Covers</t>
        </is>
      </c>
      <c r="N3" s="113" t="inlineStr">
        <is>
          <t>Promo to Date</t>
        </is>
      </c>
      <c r="O3" s="113" t="inlineStr">
        <is>
          <t>% To Date</t>
        </is>
      </c>
      <c r="P3" s="113" t="inlineStr">
        <is>
          <t>Uber / Mr D Deliveries</t>
        </is>
      </c>
      <c r="Q3" s="113" t="inlineStr">
        <is>
          <t>% To Date</t>
        </is>
      </c>
      <c r="R3" s="177" t="inlineStr">
        <is>
          <t>WhatsApp</t>
        </is>
      </c>
      <c r="S3" s="177" t="inlineStr">
        <is>
          <t>WhatsApp % of TO</t>
        </is>
      </c>
      <c r="T3" s="272" t="inlineStr">
        <is>
          <t>Non-Banking</t>
        </is>
      </c>
      <c r="U3" s="407" t="n"/>
      <c r="W3" s="298" t="inlineStr">
        <is>
          <t>Delivery</t>
        </is>
      </c>
      <c r="Z3" s="298" t="inlineStr">
        <is>
          <t>Whatsapp /Takeout</t>
        </is>
      </c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299">
        <f>SUM(E5:E15)</f>
        <v/>
      </c>
      <c r="F4" s="299">
        <f>SUM(F5:F15)</f>
        <v/>
      </c>
      <c r="G4" s="300">
        <f>IFERROR((SUM(E4-C4)/C4),0)</f>
        <v/>
      </c>
      <c r="H4" s="300">
        <f>IFERROR((SUM(E4-D4)/D4),0)</f>
        <v/>
      </c>
      <c r="I4" s="324">
        <f>IFERROR((SUM(E4-B4)/E4),0)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SUM(P4/E4)</f>
        <v/>
      </c>
      <c r="R4" s="331">
        <f>SUM(R5:R15)</f>
        <v/>
      </c>
      <c r="S4" s="330">
        <f>SUM(R4/E4)</f>
        <v/>
      </c>
      <c r="T4" s="353">
        <f>SUM(T5:T15)</f>
        <v/>
      </c>
      <c r="U4" s="24" t="n"/>
    </row>
    <row r="5" ht="15.6" customHeight="1">
      <c r="A5" s="416" t="inlineStr">
        <is>
          <t>Hartenbos</t>
        </is>
      </c>
      <c r="B5" s="310" t="n">
        <v>320410.36</v>
      </c>
      <c r="C5" s="310" t="n">
        <v>166877.21</v>
      </c>
      <c r="D5" s="310" t="n">
        <v>240544.36</v>
      </c>
      <c r="E5" s="310" t="n">
        <v>169180.6</v>
      </c>
      <c r="F5" s="310" t="n">
        <v>2156440.29</v>
      </c>
      <c r="G5" s="348">
        <f>IFERROR((SUM(E5-C5)/C5),0)</f>
        <v/>
      </c>
      <c r="H5" s="336">
        <f>IFERROR((SUM(E5-D5)/D5),0)</f>
        <v/>
      </c>
      <c r="I5" s="351">
        <f>IFERROR((SUM(E5-B5)/B5),0)</f>
        <v/>
      </c>
      <c r="J5" s="311" t="n">
        <v>511</v>
      </c>
      <c r="K5" s="63">
        <f>IFERROR(E5/J5,0)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SUM(P5/E5)</f>
        <v/>
      </c>
      <c r="R5" s="260">
        <f>SUM(AA5)</f>
        <v/>
      </c>
      <c r="S5" s="89">
        <f>SUM(R5/E5)</f>
        <v/>
      </c>
      <c r="T5" s="310" t="n">
        <v>1122.2</v>
      </c>
      <c r="U5" s="9" t="n"/>
      <c r="W5" s="260" t="n"/>
      <c r="X5" s="297">
        <f>W5/1.15</f>
        <v/>
      </c>
      <c r="Z5" t="n">
        <v>15688.5</v>
      </c>
      <c r="AA5" s="297">
        <f>SUM(Z5)/1.15</f>
        <v/>
      </c>
    </row>
    <row r="6" ht="15.6" customHeight="1">
      <c r="A6" s="406" t="inlineStr">
        <is>
          <t>Eagles Landing</t>
        </is>
      </c>
      <c r="B6" s="310" t="n">
        <v>224090.56</v>
      </c>
      <c r="C6" s="310" t="n">
        <v>317233.92</v>
      </c>
      <c r="D6" s="310" t="n">
        <v>251779.71</v>
      </c>
      <c r="E6" s="310" t="n">
        <v>255687.4</v>
      </c>
      <c r="F6" s="310" t="n">
        <v>993994.17</v>
      </c>
      <c r="G6" s="349">
        <f>IFERROR((SUM(E6-C6)/C6),0)</f>
        <v/>
      </c>
      <c r="H6" s="86">
        <f>IFERROR((SUM(E6-D6)/D6),0)</f>
        <v/>
      </c>
      <c r="I6" s="77">
        <f>IFERROR((SUM(E6-B6)/B6),0)</f>
        <v/>
      </c>
      <c r="J6" s="311" t="n">
        <v>828</v>
      </c>
      <c r="K6" s="63">
        <f>IFERROR(E6/J6,0)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SUM(P6/E6)</f>
        <v/>
      </c>
      <c r="R6" s="260">
        <f>SUM(AA6)</f>
        <v/>
      </c>
      <c r="S6" s="89">
        <f>SUM(R6/E6)</f>
        <v/>
      </c>
      <c r="T6" s="310" t="n">
        <v>8281.450000000001</v>
      </c>
      <c r="U6" s="26" t="n"/>
      <c r="W6" t="n">
        <v>59430.58</v>
      </c>
      <c r="X6" s="297">
        <f>W6/1.15</f>
        <v/>
      </c>
      <c r="Z6" t="n">
        <v>22376.16</v>
      </c>
      <c r="AA6" s="297">
        <f>SUM(Z6)/1.15</f>
        <v/>
      </c>
    </row>
    <row r="7" ht="16.5" customHeight="1">
      <c r="A7" s="406" t="inlineStr">
        <is>
          <t>Irene Village</t>
        </is>
      </c>
      <c r="B7" s="310" t="n">
        <v>237247.77</v>
      </c>
      <c r="C7" s="310" t="n">
        <v>254835.6</v>
      </c>
      <c r="D7" s="310" t="n">
        <v>219896.15</v>
      </c>
      <c r="E7" s="310" t="n">
        <v>261146.62</v>
      </c>
      <c r="F7" s="310" t="n">
        <v>1055323.93</v>
      </c>
      <c r="G7" s="349">
        <f>IFERROR((SUM(E7-C7)/C7),0)</f>
        <v/>
      </c>
      <c r="H7" s="86">
        <f>IFERROR((SUM(E7-D7)/D7),0)</f>
        <v/>
      </c>
      <c r="I7" s="77">
        <f>IFERROR((SUM(E7-B7)/B7),0)</f>
        <v/>
      </c>
      <c r="J7" s="311" t="n">
        <v>769</v>
      </c>
      <c r="K7" s="63">
        <f>IFERROR(E7/J7,0)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SUM(P7/E7)</f>
        <v/>
      </c>
      <c r="R7" s="260">
        <f>SUM(AA7)</f>
        <v/>
      </c>
      <c r="S7" s="89">
        <f>SUM(R7/E7)</f>
        <v/>
      </c>
      <c r="T7" s="310" t="n">
        <v>4736.95</v>
      </c>
      <c r="U7" s="26" t="n"/>
      <c r="W7" t="n">
        <v>56673.07</v>
      </c>
      <c r="X7" s="297">
        <f>W7/1.15</f>
        <v/>
      </c>
      <c r="Z7" t="n">
        <v>4274.57</v>
      </c>
      <c r="AA7" s="297">
        <f>SUM(Z7)/1.15</f>
        <v/>
      </c>
    </row>
    <row r="8" ht="15.6" customHeight="1">
      <c r="A8" s="160" t="inlineStr">
        <is>
          <t>Kyalami Corner</t>
        </is>
      </c>
      <c r="B8" s="310" t="n">
        <v>126608.49</v>
      </c>
      <c r="C8" s="310" t="n">
        <v>125945.97</v>
      </c>
      <c r="D8" s="310" t="n">
        <v>144588.24</v>
      </c>
      <c r="E8" s="310" t="n">
        <v>147008.84</v>
      </c>
      <c r="F8" s="310" t="n">
        <v>574683.64</v>
      </c>
      <c r="G8" s="349">
        <f>IFERROR((SUM(E8-C8)/C8),0)</f>
        <v/>
      </c>
      <c r="H8" s="86">
        <f>IFERROR((SUM(E8-D8)/D8),0)</f>
        <v/>
      </c>
      <c r="I8" s="77">
        <f>IFERROR((SUM(E8-B8)/B8),0)</f>
        <v/>
      </c>
      <c r="J8" s="311" t="n">
        <v>506</v>
      </c>
      <c r="K8" s="63">
        <f>IFERROR(E8/J8,0)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SUM(P8/E8)</f>
        <v/>
      </c>
      <c r="R8" s="260">
        <f>SUM(AA8)</f>
        <v/>
      </c>
      <c r="S8" s="89">
        <f>SUM(R8/E8)</f>
        <v/>
      </c>
      <c r="T8" s="310" t="n">
        <v>4071</v>
      </c>
      <c r="U8" s="9" t="n"/>
      <c r="W8" t="n">
        <v>40139.02</v>
      </c>
      <c r="X8" s="297">
        <f>W8/1.15</f>
        <v/>
      </c>
      <c r="Z8" t="n">
        <v>28060.61</v>
      </c>
      <c r="AA8" s="297">
        <f>SUM(Z8)/1.15</f>
        <v/>
      </c>
    </row>
    <row r="9" ht="15.6" customHeight="1">
      <c r="A9" s="160" t="inlineStr">
        <is>
          <t>Lynnwood</t>
        </is>
      </c>
      <c r="B9" s="310" t="n">
        <v>196915.12</v>
      </c>
      <c r="C9" s="310" t="n">
        <v>243010.12</v>
      </c>
      <c r="D9" s="310" t="n">
        <v>227518.52</v>
      </c>
      <c r="E9" s="310" t="n">
        <v>233762.21</v>
      </c>
      <c r="F9" s="310" t="n">
        <v>866057.0600000001</v>
      </c>
      <c r="G9" s="349">
        <f>IFERROR((SUM(E9-C9)/C9),0)</f>
        <v/>
      </c>
      <c r="H9" s="86">
        <f>IFERROR((SUM(E9-D9)/D9),0)</f>
        <v/>
      </c>
      <c r="I9" s="77">
        <f>IFERROR((SUM(E9-B9)/B9),0)</f>
        <v/>
      </c>
      <c r="J9" s="311" t="n">
        <v>789</v>
      </c>
      <c r="K9" s="63">
        <f>IFERROR(E9/J9,0)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SUM(P9/E9)</f>
        <v/>
      </c>
      <c r="R9" s="260">
        <f>SUM(AA9)</f>
        <v/>
      </c>
      <c r="S9" s="89">
        <f>SUM(R9/E9)</f>
        <v/>
      </c>
      <c r="T9" s="310" t="n">
        <v>4604.75</v>
      </c>
      <c r="U9" s="26" t="n"/>
      <c r="W9" t="n">
        <v>50165.17</v>
      </c>
      <c r="X9" s="297">
        <f>W9/1.15</f>
        <v/>
      </c>
      <c r="Z9" t="n">
        <v>33811.85</v>
      </c>
      <c r="AA9" s="297">
        <f>SUM(Z9)/1.15</f>
        <v/>
      </c>
    </row>
    <row r="10" ht="15.6" customHeight="1">
      <c r="A10" s="406" t="inlineStr">
        <is>
          <t>Melrose Arch</t>
        </is>
      </c>
      <c r="B10" s="310" t="n">
        <v>206881.72</v>
      </c>
      <c r="C10" s="310" t="n">
        <v>191397.82</v>
      </c>
      <c r="D10" s="310" t="n">
        <v>219465.41</v>
      </c>
      <c r="E10" s="310" t="n">
        <v>245906.86</v>
      </c>
      <c r="F10" s="310" t="n">
        <v>973648.51</v>
      </c>
      <c r="G10" s="349">
        <f>IFERROR((SUM(E10-C10)/C10),0)</f>
        <v/>
      </c>
      <c r="H10" s="86">
        <f>IFERROR((SUM(E10-D10)/D10),0)</f>
        <v/>
      </c>
      <c r="I10" s="77">
        <f>IFERROR((SUM(E10-B10)/B10),0)</f>
        <v/>
      </c>
      <c r="J10" s="311" t="n">
        <v>806</v>
      </c>
      <c r="K10" s="63">
        <f>IFERROR(E10/J10,0)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SUM(P10/E10)</f>
        <v/>
      </c>
      <c r="R10" s="260">
        <f>SUM(AA10)</f>
        <v/>
      </c>
      <c r="S10" s="89">
        <f>SUM(R10/E10)</f>
        <v/>
      </c>
      <c r="T10" s="310" t="n">
        <v>10199.13</v>
      </c>
      <c r="U10" s="26" t="n"/>
      <c r="W10" t="n">
        <v>30662</v>
      </c>
      <c r="X10" s="297">
        <f>W10/1.15</f>
        <v/>
      </c>
      <c r="Z10" t="n">
        <v>38268.45</v>
      </c>
      <c r="AA10" s="297">
        <f>SUM(Z10)/1.15</f>
        <v/>
      </c>
    </row>
    <row r="11" ht="15.6" customHeight="1">
      <c r="A11" s="406" t="inlineStr">
        <is>
          <t>Melville</t>
        </is>
      </c>
      <c r="B11" s="310" t="n">
        <v>111387.59</v>
      </c>
      <c r="C11" s="310" t="n">
        <v>86713.33</v>
      </c>
      <c r="D11" s="310" t="n">
        <v>115980.35</v>
      </c>
      <c r="E11" s="310" t="n">
        <v>136294.53</v>
      </c>
      <c r="F11" s="310" t="n">
        <v>489927.39</v>
      </c>
      <c r="G11" s="349">
        <f>IFERROR((SUM(E11-C11)/C11),0)</f>
        <v/>
      </c>
      <c r="H11" s="86">
        <f>IFERROR((SUM(E11-D11)/D11),0)</f>
        <v/>
      </c>
      <c r="I11" s="77">
        <f>IFERROR((SUM(E11-B11)/B11),0)</f>
        <v/>
      </c>
      <c r="J11" s="311" t="n">
        <v>483</v>
      </c>
      <c r="K11" s="63">
        <f>IFERROR(E11/J11,0)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SUM(P11/E11)</f>
        <v/>
      </c>
      <c r="R11" s="260">
        <f>SUM(AA11)</f>
        <v/>
      </c>
      <c r="S11" s="89">
        <f>SUM(R11/E11)</f>
        <v/>
      </c>
      <c r="T11" s="310" t="n">
        <v>3247.5</v>
      </c>
      <c r="U11" s="26" t="n"/>
      <c r="W11" t="n">
        <v>52915.68</v>
      </c>
      <c r="X11" s="297">
        <f>W11/1.15</f>
        <v/>
      </c>
      <c r="Z11" t="n">
        <v>21778.41</v>
      </c>
      <c r="AA11" s="297">
        <f>SUM(Z11)/1.15</f>
        <v/>
      </c>
    </row>
    <row r="12" ht="15.6" customHeight="1">
      <c r="A12" s="160" t="inlineStr">
        <is>
          <t>Cambridge Crossing</t>
        </is>
      </c>
      <c r="B12" s="310" t="n">
        <v>211949.58</v>
      </c>
      <c r="C12" s="310" t="n">
        <v>206751.49</v>
      </c>
      <c r="D12" s="310" t="n">
        <v>184402.37</v>
      </c>
      <c r="E12" s="310" t="n">
        <v>229617.68</v>
      </c>
      <c r="F12" s="310" t="n">
        <v>902476.1899999999</v>
      </c>
      <c r="G12" s="349">
        <f>IFERROR((SUM(E12-C12)/C12),0)</f>
        <v/>
      </c>
      <c r="H12" s="86">
        <f>IFERROR((SUM(E12-D12)/D12),0)</f>
        <v/>
      </c>
      <c r="I12" s="77">
        <f>IFERROR((SUM(E12-B12)/B12),0)</f>
        <v/>
      </c>
      <c r="J12" s="311" t="n">
        <v>777</v>
      </c>
      <c r="K12" s="63">
        <f>IFERROR(E12/J12,0)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SUM(P12/E12)</f>
        <v/>
      </c>
      <c r="R12" s="260">
        <f>SUM(AA12)</f>
        <v/>
      </c>
      <c r="S12" s="89">
        <f>SUM(R12/E12)</f>
        <v/>
      </c>
      <c r="T12" s="310" t="n">
        <v>3144.5</v>
      </c>
      <c r="U12" s="9" t="n"/>
      <c r="W12" t="n">
        <v>44066.91</v>
      </c>
      <c r="X12" s="297">
        <f>W12/1.15</f>
        <v/>
      </c>
      <c r="Z12" t="n">
        <v>38300.82</v>
      </c>
      <c r="AA12" s="297">
        <f>SUM(Z12)/1.15</f>
        <v/>
      </c>
    </row>
    <row r="13" ht="15.6" customHeight="1">
      <c r="A13" s="160" t="inlineStr">
        <is>
          <t>Queenswood</t>
        </is>
      </c>
      <c r="B13" s="310" t="n">
        <v>164303.17</v>
      </c>
      <c r="C13" s="310" t="n"/>
      <c r="D13" s="310" t="n">
        <v>166446.76</v>
      </c>
      <c r="E13" s="310" t="n">
        <v>183536.42</v>
      </c>
      <c r="F13" s="310" t="n">
        <v>733260.62</v>
      </c>
      <c r="G13" s="349">
        <f>IFERROR((SUM(E13-C13)/C13),0)</f>
        <v/>
      </c>
      <c r="H13" s="86">
        <f>IFERROR((SUM(E13-D13)/D13),0)</f>
        <v/>
      </c>
      <c r="I13" s="77">
        <f>IFERROR((SUM(E13-B13)/B13),0)</f>
        <v/>
      </c>
      <c r="J13" s="311" t="n">
        <v>668</v>
      </c>
      <c r="K13" s="63">
        <f>IFERROR(E13/J13,0)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SUM(P13/E13)</f>
        <v/>
      </c>
      <c r="R13" s="260">
        <f>SUM(AA13)</f>
        <v/>
      </c>
      <c r="S13" s="89">
        <f>SUM(R13/E13)</f>
        <v/>
      </c>
      <c r="T13" s="310" t="n">
        <v>3251.5</v>
      </c>
      <c r="U13" s="9" t="n"/>
      <c r="W13" t="n">
        <v>23691.15</v>
      </c>
      <c r="X13" s="297">
        <f>W13/1.15</f>
        <v/>
      </c>
      <c r="Z13" t="n">
        <v>42050.02</v>
      </c>
      <c r="AA13" s="297">
        <f>SUM(Z13)/1.15</f>
        <v/>
      </c>
    </row>
    <row r="14" ht="15.6" customHeight="1">
      <c r="A14" s="406" t="inlineStr">
        <is>
          <t xml:space="preserve">Waterkloof </t>
        </is>
      </c>
      <c r="B14" s="310" t="n">
        <v>144611.63</v>
      </c>
      <c r="C14" s="310" t="n">
        <v>144600.03</v>
      </c>
      <c r="D14" s="310" t="n">
        <v>177078.57</v>
      </c>
      <c r="E14" s="310" t="n">
        <v>140083.12</v>
      </c>
      <c r="F14" s="310" t="n">
        <v>571711.83</v>
      </c>
      <c r="G14" s="349">
        <f>IFERROR((SUM(E14-C14)/C14),0)</f>
        <v/>
      </c>
      <c r="H14" s="86">
        <f>IFERROR((SUM(E14-D14)/D14),0)</f>
        <v/>
      </c>
      <c r="I14" s="77">
        <f>IFERROR((SUM(E14-B14)/B14),0)</f>
        <v/>
      </c>
      <c r="J14" s="311" t="n">
        <v>453</v>
      </c>
      <c r="K14" s="63">
        <f>IFERROR(E14/J14,0)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SUM(P14/E14)</f>
        <v/>
      </c>
      <c r="R14" s="260">
        <f>SUM(AA14)</f>
        <v/>
      </c>
      <c r="S14" s="89">
        <f>SUM(R14/E14)</f>
        <v/>
      </c>
      <c r="T14" s="310" t="n">
        <v>3792</v>
      </c>
      <c r="U14" s="26" t="n"/>
      <c r="W14" t="n">
        <v>34001.04</v>
      </c>
      <c r="X14" s="297">
        <f>W14/1.15</f>
        <v/>
      </c>
      <c r="Z14" t="n">
        <v>32918.36</v>
      </c>
      <c r="AA14" s="297">
        <f>SUM(Z14)/1.15</f>
        <v/>
      </c>
    </row>
    <row r="15" ht="16.2" customHeight="1" thickBot="1">
      <c r="A15" s="161" t="inlineStr">
        <is>
          <t>Stellenbosch</t>
        </is>
      </c>
      <c r="B15" s="310" t="n">
        <v>135425.29</v>
      </c>
      <c r="C15" s="310" t="n">
        <v>152846.04</v>
      </c>
      <c r="D15" s="310" t="n">
        <v>148338.9</v>
      </c>
      <c r="E15" s="310" t="n">
        <v>159223</v>
      </c>
      <c r="F15" s="310" t="n">
        <v>582440.5600000001</v>
      </c>
      <c r="G15" s="350">
        <f>IFERROR((SUM(E15-C15)/C15),0)</f>
        <v/>
      </c>
      <c r="H15" s="341">
        <f>IFERROR((SUM(E15-D15)/D15),0)</f>
        <v/>
      </c>
      <c r="I15" s="352">
        <f>IFERROR((SUM(E15-B15)/B15),0)</f>
        <v/>
      </c>
      <c r="J15" s="311" t="n">
        <v>507</v>
      </c>
      <c r="K15" s="132">
        <f>IFERROR(E15/J15,0)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SUM(P15/E15)</f>
        <v/>
      </c>
      <c r="R15" s="260">
        <f>SUM(AA15)</f>
        <v/>
      </c>
      <c r="S15" s="116">
        <f>SUM(R15/E15)</f>
        <v/>
      </c>
      <c r="T15" s="310" t="n">
        <v>2537.15</v>
      </c>
      <c r="U15" s="26" t="n"/>
      <c r="W15" t="n">
        <v>25662.79</v>
      </c>
      <c r="X15" s="297">
        <f>W15/1.15</f>
        <v/>
      </c>
      <c r="Z15" t="n">
        <v>16127.79</v>
      </c>
      <c r="AA15" s="297">
        <f>SUM(Z15)/1.15</f>
        <v/>
      </c>
    </row>
    <row r="16">
      <c r="A16" s="81" t="n"/>
      <c r="B16" s="81" t="n"/>
      <c r="C16" s="81" t="n"/>
      <c r="D16" s="83" t="n"/>
      <c r="E16" s="395" t="n"/>
      <c r="F16" s="83" t="n"/>
      <c r="G16" s="81" t="n"/>
      <c r="H16" s="81" t="n"/>
      <c r="I16" s="81" t="n"/>
      <c r="J16" s="396" t="n"/>
      <c r="K16" s="397" t="n"/>
      <c r="L16" s="91" t="n"/>
      <c r="M16" s="397" t="n"/>
      <c r="N16" s="397" t="n"/>
      <c r="O16" s="397" t="n"/>
      <c r="P16" s="397" t="n"/>
      <c r="Q16" s="397" t="n"/>
      <c r="R16" s="397" t="n"/>
      <c r="S16" s="397" t="n"/>
      <c r="T16" s="397" t="n"/>
      <c r="U16" s="9" t="n"/>
    </row>
    <row r="17">
      <c r="A17" s="81" t="n"/>
      <c r="B17" s="81" t="n"/>
      <c r="C17" s="81" t="n"/>
      <c r="D17" s="83" t="n"/>
      <c r="E17" s="83" t="n"/>
      <c r="F17" s="83" t="n"/>
      <c r="G17" s="81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1" t="n"/>
      <c r="C18" s="81" t="n"/>
      <c r="D18" s="83" t="n"/>
      <c r="E18" s="83" t="n"/>
      <c r="F18" s="83" t="n"/>
      <c r="G18" s="81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1" t="n"/>
      <c r="C19" s="81" t="n"/>
      <c r="D19" s="83" t="n"/>
      <c r="E19" s="83" t="n"/>
      <c r="F19" s="83" t="n"/>
      <c r="G19" s="81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1" t="n"/>
      <c r="C20" s="81" t="n"/>
      <c r="D20" s="83" t="n"/>
      <c r="E20" s="83" t="n"/>
      <c r="F20" s="83" t="n"/>
      <c r="G20" s="81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1" t="n"/>
      <c r="C21" s="81" t="n"/>
      <c r="D21" s="83" t="n"/>
      <c r="E21" s="83" t="n"/>
      <c r="F21" s="83" t="n"/>
      <c r="G21" s="81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1" t="n"/>
      <c r="C22" s="81" t="n"/>
      <c r="D22" s="83" t="n"/>
      <c r="E22" s="83" t="n"/>
      <c r="F22" s="83" t="n"/>
      <c r="G22" s="81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1" t="n"/>
      <c r="C23" s="81" t="n"/>
      <c r="D23" s="83" t="n"/>
      <c r="E23" s="83" t="n"/>
      <c r="F23" s="83" t="n"/>
      <c r="G23" s="81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1" t="n"/>
      <c r="C24" s="81" t="n"/>
      <c r="D24" s="83" t="n"/>
      <c r="E24" s="83" t="n"/>
      <c r="F24" s="83" t="n"/>
      <c r="G24" s="81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G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19.664062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418" t="n"/>
      <c r="B2" s="418" t="n"/>
      <c r="C2" s="418" t="n"/>
      <c r="D2" s="1" t="n"/>
      <c r="E2" s="419">
        <f>((B4-C4)/B4)</f>
        <v/>
      </c>
      <c r="F2" s="420" t="n"/>
      <c r="G2" s="418" t="n"/>
      <c r="H2" s="421" t="n"/>
      <c r="I2" s="422">
        <f>((B4-D4)/D4)</f>
        <v/>
      </c>
      <c r="J2" s="423" t="n"/>
      <c r="K2" s="418" t="n"/>
      <c r="L2" s="418" t="n"/>
      <c r="M2" s="418" t="n"/>
      <c r="N2" s="418" t="n"/>
      <c r="O2" s="418" t="n"/>
      <c r="P2" s="418" t="n"/>
      <c r="Q2" s="418" t="n"/>
      <c r="R2" s="418" t="n"/>
      <c r="S2" s="418" t="n"/>
      <c r="T2" s="424" t="n"/>
      <c r="U2" s="17" t="n"/>
    </row>
    <row r="3" ht="32.4" customHeight="1" thickBot="1" thickTop="1">
      <c r="A3" s="425" t="n"/>
      <c r="B3" s="381" t="inlineStr">
        <is>
          <t>Current Week (Net)</t>
        </is>
      </c>
      <c r="C3" s="382" t="inlineStr">
        <is>
          <t>Last Week (Net)</t>
        </is>
      </c>
      <c r="D3" s="113" t="inlineStr">
        <is>
          <t>LAST YEAR (Net) 2019</t>
        </is>
      </c>
      <c r="E3" s="360" t="inlineStr">
        <is>
          <t>% to LW</t>
        </is>
      </c>
      <c r="F3" s="380" t="inlineStr">
        <is>
          <t>Month To Date T/Over</t>
        </is>
      </c>
      <c r="G3" s="379" t="inlineStr">
        <is>
          <t>LAST YEAR (Net) 2022</t>
        </is>
      </c>
      <c r="H3" s="378" t="inlineStr">
        <is>
          <t>% to LW 2022</t>
        </is>
      </c>
      <c r="I3" s="290" t="inlineStr">
        <is>
          <t>% to LY 2019</t>
        </is>
      </c>
      <c r="J3" s="365" t="inlineStr">
        <is>
          <t>Invoices</t>
        </is>
      </c>
      <c r="K3" s="366" t="inlineStr">
        <is>
          <t>Avg Spend per Bill</t>
        </is>
      </c>
      <c r="L3" s="367" t="inlineStr">
        <is>
          <t>PROMO Weekly</t>
        </is>
      </c>
      <c r="M3" s="367" t="inlineStr">
        <is>
          <t>% To Covers</t>
        </is>
      </c>
      <c r="N3" s="367" t="inlineStr">
        <is>
          <t>Promo to Date</t>
        </is>
      </c>
      <c r="O3" s="367" t="inlineStr">
        <is>
          <t>% To Date</t>
        </is>
      </c>
      <c r="P3" s="367" t="inlineStr">
        <is>
          <t>Uber / Mr D Deliveries</t>
        </is>
      </c>
      <c r="Q3" s="367" t="inlineStr">
        <is>
          <t>% To Date</t>
        </is>
      </c>
      <c r="R3" s="368" t="inlineStr">
        <is>
          <t>WhatsApp</t>
        </is>
      </c>
      <c r="S3" s="368" t="inlineStr">
        <is>
          <t>WhatsApp % of TO</t>
        </is>
      </c>
      <c r="T3" s="369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6.2" customHeight="1" thickBot="1">
      <c r="A4" s="415" t="inlineStr">
        <is>
          <t>GROUP TOTAL</t>
        </is>
      </c>
      <c r="B4" s="299">
        <f>SUM(B5:B15)</f>
        <v/>
      </c>
      <c r="C4" s="299">
        <f>SUM(C5:C15)</f>
        <v/>
      </c>
      <c r="D4" s="299">
        <f>SUM(D5:D15)</f>
        <v/>
      </c>
      <c r="E4" s="354">
        <f>IFERROR((SUM(B4-C4)/B4),0)</f>
        <v/>
      </c>
      <c r="F4" s="358">
        <f>SUM(F5:F15)</f>
        <v/>
      </c>
      <c r="G4" s="371">
        <f>SUM(G5:G15)</f>
        <v/>
      </c>
      <c r="H4" s="372">
        <f>IFERROR((SUM(B4-G4)/G4),0)</f>
        <v/>
      </c>
      <c r="I4" s="361">
        <f>IFERROR((SUM(B4-D4)/D4),0)</f>
        <v/>
      </c>
      <c r="J4" s="325">
        <f>SUM(J5:J15)</f>
        <v/>
      </c>
      <c r="K4" s="326">
        <f>AVERAGE(K5:K15)</f>
        <v/>
      </c>
      <c r="L4" s="327">
        <f>SUM(L5:L15)</f>
        <v/>
      </c>
      <c r="M4" s="328">
        <f>IFERROR(L4/J4,0)</f>
        <v/>
      </c>
      <c r="N4" s="329">
        <f>SUM(N7:N15)</f>
        <v/>
      </c>
      <c r="O4" s="330">
        <f>IFERROR(N4/SUM(J4),0)</f>
        <v/>
      </c>
      <c r="P4" s="331">
        <f>SUM(P5:P15)</f>
        <v/>
      </c>
      <c r="Q4" s="330">
        <f>SUM(P4/B4)</f>
        <v/>
      </c>
      <c r="R4" s="331">
        <f>SUM(R5:R15)</f>
        <v/>
      </c>
      <c r="S4" s="330">
        <f>SUM(R4/B4)</f>
        <v/>
      </c>
      <c r="T4" s="36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416" t="inlineStr">
        <is>
          <t>Hartenbos</t>
        </is>
      </c>
      <c r="B5" s="310" t="n"/>
      <c r="C5" s="310" t="n">
        <v>169180.6</v>
      </c>
      <c r="D5" s="310" t="n">
        <v>166877.21</v>
      </c>
      <c r="E5" s="355">
        <f>IFERROR((SUM(B5-C5)/C5),0)</f>
        <v/>
      </c>
      <c r="F5" s="359" t="n"/>
      <c r="G5" s="344" t="n">
        <v>243672.85</v>
      </c>
      <c r="H5" s="336">
        <f>IFERROR((SUM(B5-G5)/G5),0)</f>
        <v/>
      </c>
      <c r="I5" s="287">
        <f>IFERROR((SUM(B5-D5)/D5),0)</f>
        <v/>
      </c>
      <c r="J5" s="362" t="n"/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63" t="n"/>
      <c r="U5" s="9" t="n"/>
      <c r="W5" s="385" t="n"/>
      <c r="X5" s="386">
        <f>W5/1.15</f>
        <v/>
      </c>
      <c r="Z5" s="362" t="n"/>
      <c r="AA5" s="386">
        <f>SUM(Z5)/1.15</f>
        <v/>
      </c>
    </row>
    <row r="6" ht="15.6" customHeight="1">
      <c r="A6" s="406" t="inlineStr">
        <is>
          <t>Eagles Landing</t>
        </is>
      </c>
      <c r="B6" s="310" t="n">
        <v>242039.42</v>
      </c>
      <c r="C6" s="310" t="n">
        <v>255687.4</v>
      </c>
      <c r="D6" s="310" t="n">
        <v>317233.92</v>
      </c>
      <c r="E6" s="356">
        <f>IFERROR((SUM(B6-C6)/C6),0)</f>
        <v/>
      </c>
      <c r="F6" s="359" t="n">
        <v>190105.61</v>
      </c>
      <c r="G6" s="344" t="n">
        <v>216181.06</v>
      </c>
      <c r="H6" s="86">
        <f>IFERROR((SUM(B6-G6)/G6),0)</f>
        <v/>
      </c>
      <c r="I6" s="288">
        <f>IFERROR((SUM(B6-D6)/D6),0)</f>
        <v/>
      </c>
      <c r="J6" s="362" t="n">
        <v>764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63" t="n">
        <v>10083.1</v>
      </c>
      <c r="U6" s="26" t="n"/>
      <c r="W6" s="362" t="n">
        <v>48305.09</v>
      </c>
      <c r="X6" s="386">
        <f>W6/1.15</f>
        <v/>
      </c>
      <c r="Z6" s="362" t="n">
        <v>25582.69</v>
      </c>
      <c r="AA6" s="386">
        <f>SUM(Z6)/1.15</f>
        <v/>
      </c>
    </row>
    <row r="7" ht="16.5" customHeight="1">
      <c r="A7" s="406" t="inlineStr">
        <is>
          <t>Irene Village</t>
        </is>
      </c>
      <c r="B7" s="310" t="n">
        <v>236290.59</v>
      </c>
      <c r="C7" s="310" t="n">
        <v>261146.62</v>
      </c>
      <c r="D7" s="310" t="n">
        <v>254835.6</v>
      </c>
      <c r="E7" s="356">
        <f>IFERROR((SUM(B7-C7)/C7),0)</f>
        <v/>
      </c>
      <c r="F7" s="359" t="n">
        <v>195897.75</v>
      </c>
      <c r="G7" s="344" t="n">
        <v>238606.29</v>
      </c>
      <c r="H7" s="86">
        <f>IFERROR((SUM(B7-G7)/G7),0)</f>
        <v/>
      </c>
      <c r="I7" s="288">
        <f>IFERROR((SUM(B7-D7)/D7),0)</f>
        <v/>
      </c>
      <c r="J7" s="362" t="n">
        <v>707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63" t="n">
        <v>4247</v>
      </c>
      <c r="U7" s="26" t="n"/>
      <c r="W7" s="362" t="n">
        <v>43505.88</v>
      </c>
      <c r="X7" s="386">
        <f>W7/1.15</f>
        <v/>
      </c>
      <c r="Z7" s="362" t="n">
        <v>10618.14</v>
      </c>
      <c r="AA7" s="386">
        <f>SUM(Z7)/1.15</f>
        <v/>
      </c>
    </row>
    <row r="8" ht="15.6" customHeight="1">
      <c r="A8" s="160" t="inlineStr">
        <is>
          <t>Kyalami Corner</t>
        </is>
      </c>
      <c r="B8" s="310" t="n">
        <v>129509</v>
      </c>
      <c r="C8" s="310" t="n">
        <v>147008.84</v>
      </c>
      <c r="D8" s="310" t="n">
        <v>125945.97</v>
      </c>
      <c r="E8" s="356">
        <f>IFERROR((SUM(B8-C8)/C8),0)</f>
        <v/>
      </c>
      <c r="F8" s="359" t="n">
        <v>105089.34</v>
      </c>
      <c r="G8" s="344" t="n">
        <v>132179.39</v>
      </c>
      <c r="H8" s="86">
        <f>IFERROR((SUM(B8-G8)/G8),0)</f>
        <v/>
      </c>
      <c r="I8" s="288">
        <f>IFERROR((SUM(B8-D8)/D8),0)</f>
        <v/>
      </c>
      <c r="J8" s="362" t="n">
        <v>474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63" t="n">
        <v>2888.9</v>
      </c>
      <c r="U8" s="9" t="n"/>
      <c r="W8" s="362" t="n">
        <v>27457.05</v>
      </c>
      <c r="X8" s="386">
        <f>W8/1.15</f>
        <v/>
      </c>
      <c r="Z8" s="362" t="n">
        <v>29102.75</v>
      </c>
      <c r="AA8" s="386">
        <f>SUM(Z8)/1.15</f>
        <v/>
      </c>
    </row>
    <row r="9" ht="15.6" customHeight="1">
      <c r="A9" s="160" t="inlineStr">
        <is>
          <t>Lynnwood</t>
        </is>
      </c>
      <c r="B9" s="310" t="n">
        <v>217415.04</v>
      </c>
      <c r="C9" s="310" t="n">
        <v>233762.21</v>
      </c>
      <c r="D9" s="310" t="n">
        <v>243010.12</v>
      </c>
      <c r="E9" s="356">
        <f>IFERROR((SUM(B9-C9)/C9),0)</f>
        <v/>
      </c>
      <c r="F9" s="359" t="n">
        <v>172379.76</v>
      </c>
      <c r="G9" s="344" t="n">
        <v>215241.73</v>
      </c>
      <c r="H9" s="86">
        <f>IFERROR((SUM(B9-G9)/G9),0)</f>
        <v/>
      </c>
      <c r="I9" s="288">
        <f>IFERROR((SUM(B9-D9)/D9),0)</f>
        <v/>
      </c>
      <c r="J9" s="362" t="n">
        <v>734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63" t="n">
        <v>3773.05</v>
      </c>
      <c r="U9" s="26" t="n"/>
      <c r="W9" s="362" t="n">
        <v>35824.12</v>
      </c>
      <c r="X9" s="386">
        <f>W9/1.15</f>
        <v/>
      </c>
      <c r="Z9" s="362" t="n">
        <v>28100.1</v>
      </c>
      <c r="AA9" s="386">
        <f>SUM(Z9)/1.15</f>
        <v/>
      </c>
    </row>
    <row r="10" ht="15.6" customHeight="1">
      <c r="A10" s="406" t="inlineStr">
        <is>
          <t>Melrose Arch</t>
        </is>
      </c>
      <c r="B10" s="310" t="n">
        <v>229895.69</v>
      </c>
      <c r="C10" s="310" t="n">
        <v>245906.86</v>
      </c>
      <c r="D10" s="310" t="n">
        <v>191397.82</v>
      </c>
      <c r="E10" s="356">
        <f>IFERROR((SUM(B10-C10)/C10),0)</f>
        <v/>
      </c>
      <c r="F10" s="359" t="n">
        <v>184623.54</v>
      </c>
      <c r="G10" s="344" t="n">
        <v>219199.77</v>
      </c>
      <c r="H10" s="86">
        <f>IFERROR((SUM(B10-G10)/G10),0)</f>
        <v/>
      </c>
      <c r="I10" s="288">
        <f>IFERROR((SUM(B10-D10)/D10),0)</f>
        <v/>
      </c>
      <c r="J10" s="362" t="n">
        <v>772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63" t="n">
        <v>7125.26</v>
      </c>
      <c r="U10" s="26" t="n"/>
      <c r="W10" s="362" t="n">
        <v>38420.37</v>
      </c>
      <c r="X10" s="386">
        <f>W10/1.15</f>
        <v/>
      </c>
      <c r="Z10" s="362" t="n">
        <v>23181.56</v>
      </c>
      <c r="AA10" s="386">
        <f>SUM(Z10)/1.15</f>
        <v/>
      </c>
    </row>
    <row r="11" ht="15.6" customHeight="1">
      <c r="A11" s="406" t="inlineStr">
        <is>
          <t>Melville</t>
        </is>
      </c>
      <c r="B11" s="310" t="n">
        <v>136438.83</v>
      </c>
      <c r="C11" s="310" t="n">
        <v>136294.53</v>
      </c>
      <c r="D11" s="310" t="n">
        <v>86713.33</v>
      </c>
      <c r="E11" s="356">
        <f>IFERROR((SUM(B11-C11)/C11),0)</f>
        <v/>
      </c>
      <c r="F11" s="359" t="n">
        <v>108837.9</v>
      </c>
      <c r="G11" s="344" t="n">
        <v>108709.21</v>
      </c>
      <c r="H11" s="86">
        <f>IFERROR((SUM(B11-G11)/G11),0)</f>
        <v/>
      </c>
      <c r="I11" s="288">
        <f>IFERROR((SUM(B11-D11)/D11),0)</f>
        <v/>
      </c>
      <c r="J11" s="362" t="n">
        <v>477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63" t="n">
        <v>3181.5</v>
      </c>
      <c r="U11" s="26" t="n"/>
      <c r="W11" s="362" t="n">
        <v>48703.71</v>
      </c>
      <c r="X11" s="386">
        <f>W11/1.15</f>
        <v/>
      </c>
      <c r="Z11" s="362" t="n">
        <v>17912.68</v>
      </c>
      <c r="AA11" s="386">
        <f>SUM(Z11)/1.15</f>
        <v/>
      </c>
    </row>
    <row r="12" ht="15.6" customHeight="1">
      <c r="A12" s="160" t="inlineStr">
        <is>
          <t>Cambridge Crossing</t>
        </is>
      </c>
      <c r="B12" s="310" t="n">
        <v>214787.51</v>
      </c>
      <c r="C12" s="310" t="n">
        <v>229617.68</v>
      </c>
      <c r="D12" s="310" t="n">
        <v>206751.49</v>
      </c>
      <c r="E12" s="356">
        <f>IFERROR((SUM(B12-C12)/C12),0)</f>
        <v/>
      </c>
      <c r="F12" s="359" t="n">
        <v>174688.88</v>
      </c>
      <c r="G12" s="344" t="n">
        <v>192804.32</v>
      </c>
      <c r="H12" s="356">
        <f>IFERROR((SUM(B12-G12)/G12),0)</f>
        <v/>
      </c>
      <c r="I12" s="349">
        <f>IFERROR((SUM(B12-D12)/D12),0)</f>
        <v/>
      </c>
      <c r="J12" s="311" t="n">
        <v>744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63" t="n">
        <v>5045</v>
      </c>
      <c r="U12" s="9" t="n"/>
      <c r="W12" s="362" t="n">
        <v>37700.59</v>
      </c>
      <c r="X12" s="386">
        <f>W12/1.15</f>
        <v/>
      </c>
      <c r="Z12" s="362" t="n">
        <v>32211.23</v>
      </c>
      <c r="AA12" s="386">
        <f>SUM(Z12)/1.15</f>
        <v/>
      </c>
    </row>
    <row r="13" ht="15.6" customHeight="1">
      <c r="A13" s="160" t="inlineStr">
        <is>
          <t>Queenswood</t>
        </is>
      </c>
      <c r="B13" s="310" t="n">
        <v>191737.13</v>
      </c>
      <c r="C13" s="310" t="n">
        <v>183536.42</v>
      </c>
      <c r="D13" s="310" t="n"/>
      <c r="E13" s="356">
        <f>IFERROR((SUM(B13-C13)/C13),0)</f>
        <v/>
      </c>
      <c r="F13" s="359" t="n">
        <v>145601.81</v>
      </c>
      <c r="G13" s="344" t="n">
        <v>183194.06</v>
      </c>
      <c r="H13" s="86">
        <f>IFERROR((SUM(B13-G13)/G13),0)</f>
        <v/>
      </c>
      <c r="I13" s="288">
        <f>IFERROR((SUM(B13-D13)/D13),0)</f>
        <v/>
      </c>
      <c r="J13" s="362" t="n">
        <v>657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63" t="n">
        <v>3347</v>
      </c>
      <c r="U13" s="9" t="n"/>
      <c r="W13" s="362" t="n">
        <v>29580.12</v>
      </c>
      <c r="X13" s="386">
        <f>W13/1.15</f>
        <v/>
      </c>
      <c r="Z13" s="390" t="n">
        <v>28825</v>
      </c>
      <c r="AA13" s="386">
        <f>SUM(Z13)/1.15</f>
        <v/>
      </c>
    </row>
    <row r="14" ht="16.2" customHeight="1" thickBot="1">
      <c r="A14" s="406" t="inlineStr">
        <is>
          <t xml:space="preserve">Waterkloof </t>
        </is>
      </c>
      <c r="B14" s="310" t="n">
        <v>178528.49</v>
      </c>
      <c r="C14" s="310" t="n">
        <v>140083.12</v>
      </c>
      <c r="D14" s="310" t="n">
        <v>144600.03</v>
      </c>
      <c r="E14" s="356">
        <f>IFERROR((SUM(B14-C14)/C14),0)</f>
        <v/>
      </c>
      <c r="F14" s="359" t="n">
        <v>151736.75</v>
      </c>
      <c r="G14" s="344" t="n">
        <v>166802.73</v>
      </c>
      <c r="H14" s="86">
        <f>IFERROR((SUM(B14-G14)/G14),0)</f>
        <v/>
      </c>
      <c r="I14" s="288">
        <f>IFERROR((SUM(B14-D14)/D14),0)</f>
        <v/>
      </c>
      <c r="J14" s="362" t="n">
        <v>524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76" t="n">
        <v>3707.2</v>
      </c>
      <c r="U14" s="26" t="n"/>
      <c r="W14" s="362" t="n">
        <v>37279.7</v>
      </c>
      <c r="X14" s="386">
        <f>W14/1.15</f>
        <v/>
      </c>
      <c r="Z14" s="362" t="n">
        <v>35123.23</v>
      </c>
      <c r="AA14" s="386">
        <f>SUM(Z14)/1.15</f>
        <v/>
      </c>
    </row>
    <row r="15" ht="16.2" customHeight="1" thickBot="1">
      <c r="A15" s="161" t="inlineStr">
        <is>
          <t>Stellenbosch</t>
        </is>
      </c>
      <c r="B15" s="373" t="n">
        <v>164266.12</v>
      </c>
      <c r="C15" s="321" t="n">
        <v>159223</v>
      </c>
      <c r="D15" s="321" t="n">
        <v>152846.04</v>
      </c>
      <c r="E15" s="357">
        <f>IFERROR((SUM(B15-C15)/C15),0)</f>
        <v/>
      </c>
      <c r="F15" s="374" t="n">
        <v>130960</v>
      </c>
      <c r="G15" s="375" t="n">
        <v>141844.61</v>
      </c>
      <c r="H15" s="341">
        <f>IFERROR((SUM(B15-G15)/G15),0)</f>
        <v/>
      </c>
      <c r="I15" s="289">
        <f>IFERROR((SUM(B15-D15)/D15),0)</f>
        <v/>
      </c>
      <c r="J15" s="376" t="n">
        <v>542</v>
      </c>
      <c r="K15" s="132">
        <f>IFERROR(B15/J15,0)</f>
        <v/>
      </c>
      <c r="L15" s="133" t="n">
        <v>6</v>
      </c>
      <c r="M15" s="114">
        <f>IFERROR(L15/J15,0)</f>
        <v/>
      </c>
      <c r="N15" s="115" t="n">
        <v>27</v>
      </c>
      <c r="O15" s="116">
        <f>IFERROR(N15/SUM(J15),0)</f>
        <v/>
      </c>
      <c r="P15" s="261">
        <f>SUM(X15+AA15)</f>
        <v/>
      </c>
      <c r="Q15" s="116">
        <f>SUM(P15/B15)</f>
        <v/>
      </c>
      <c r="R15" s="261">
        <f>SUM(AA15)</f>
        <v/>
      </c>
      <c r="S15" s="116">
        <f>SUM(R15/B15)</f>
        <v/>
      </c>
      <c r="T15" s="377" t="n">
        <v>4078.08</v>
      </c>
      <c r="U15" s="26" t="n"/>
      <c r="W15" s="387" t="n">
        <v>18679.85</v>
      </c>
      <c r="X15" s="388">
        <f>W15/1.15</f>
        <v/>
      </c>
      <c r="Z15" s="387" t="n">
        <v>30890.38</v>
      </c>
      <c r="AA15" s="388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F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327318.79</v>
      </c>
      <c r="C5" s="310" t="n">
        <v>298945.81</v>
      </c>
      <c r="D5" s="310" t="n">
        <v>166877.21</v>
      </c>
      <c r="E5" s="86">
        <f>IFERROR((SUM(B5-C5)/C5),0)</f>
        <v/>
      </c>
      <c r="F5" s="310" t="n">
        <v>569155.96</v>
      </c>
      <c r="G5" s="310" t="n">
        <v>259704.01</v>
      </c>
      <c r="H5" s="86">
        <f>IFERROR((SUM(B5-G5)/G5),0)</f>
        <v/>
      </c>
      <c r="I5" s="86">
        <f>IFERROR((SUM(B5-D5)/D5),0)</f>
        <v/>
      </c>
      <c r="J5" s="311" t="n">
        <v>982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1193</v>
      </c>
      <c r="U5" s="9" t="n"/>
      <c r="W5" s="385" t="n"/>
      <c r="X5" s="386">
        <f>W5/1.15</f>
        <v/>
      </c>
      <c r="Z5" s="238" t="n">
        <v>27032.5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225755.62</v>
      </c>
      <c r="C6" s="310" t="n">
        <v>242039.42</v>
      </c>
      <c r="D6" s="310" t="n">
        <v>317233.92</v>
      </c>
      <c r="E6" s="86">
        <f>IFERROR((SUM(B6-C6)/C6),0)</f>
        <v/>
      </c>
      <c r="F6" s="310" t="n">
        <v>415861.23</v>
      </c>
      <c r="G6" s="310" t="n">
        <v>194781.6</v>
      </c>
      <c r="H6" s="86">
        <f>IFERROR((SUM(B6-G6)/G6),0)</f>
        <v/>
      </c>
      <c r="I6" s="86">
        <f>IFERROR((SUM(B6-D6)/D6),0)</f>
        <v/>
      </c>
      <c r="J6" s="311" t="n">
        <v>697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6139.2</v>
      </c>
      <c r="U6" s="26" t="n"/>
      <c r="W6" s="238" t="n">
        <v>48438.4</v>
      </c>
      <c r="X6" s="386">
        <f>W6/1.15</f>
        <v/>
      </c>
      <c r="Z6" s="238" t="n">
        <v>28739.53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218640.04</v>
      </c>
      <c r="C7" s="310" t="n">
        <v>236290.59</v>
      </c>
      <c r="D7" s="310" t="n">
        <v>254835.6</v>
      </c>
      <c r="E7" s="86">
        <f>IFERROR((SUM(B7-C7)/C7),0)</f>
        <v/>
      </c>
      <c r="F7" s="310" t="n">
        <v>414537.79</v>
      </c>
      <c r="G7" s="310" t="n">
        <v>208482.78</v>
      </c>
      <c r="H7" s="86">
        <f>IFERROR((SUM(B7-G7)/G7),0)</f>
        <v/>
      </c>
      <c r="I7" s="86">
        <f>IFERROR((SUM(B7-D7)/D7),0)</f>
        <v/>
      </c>
      <c r="J7" s="311" t="n">
        <v>623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3872</v>
      </c>
      <c r="U7" s="26" t="n"/>
      <c r="W7" s="238" t="n">
        <v>47720.75</v>
      </c>
      <c r="X7" s="386">
        <f>W7/1.15</f>
        <v/>
      </c>
      <c r="Z7" s="238" t="n">
        <v>2481.81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128595.12</v>
      </c>
      <c r="C8" s="310" t="n">
        <v>129509</v>
      </c>
      <c r="D8" s="310" t="n">
        <v>125945.97</v>
      </c>
      <c r="E8" s="86">
        <f>IFERROR((SUM(B8-C8)/C8),0)</f>
        <v/>
      </c>
      <c r="F8" s="310" t="n">
        <v>233684.46</v>
      </c>
      <c r="G8" s="310" t="n">
        <v>137113.72</v>
      </c>
      <c r="H8" s="86">
        <f>IFERROR((SUM(B8-G8)/G8),0)</f>
        <v/>
      </c>
      <c r="I8" s="86">
        <f>IFERROR((SUM(B8-D8)/D8),0)</f>
        <v/>
      </c>
      <c r="J8" s="311" t="n">
        <v>456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4365.55</v>
      </c>
      <c r="U8" s="9" t="n"/>
      <c r="W8" s="238" t="n">
        <v>30929.63</v>
      </c>
      <c r="X8" s="386">
        <f>W8/1.15</f>
        <v/>
      </c>
      <c r="Z8" s="238" t="n">
        <v>26813.85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198421.22</v>
      </c>
      <c r="C9" s="310" t="n">
        <v>217415.04</v>
      </c>
      <c r="D9" s="310" t="n">
        <v>243010.12</v>
      </c>
      <c r="E9" s="86">
        <f>IFERROR((SUM(B9-C9)/C9),0)</f>
        <v/>
      </c>
      <c r="F9" s="310" t="n">
        <v>370800.98</v>
      </c>
      <c r="G9" s="310" t="n">
        <v>192037.69</v>
      </c>
      <c r="H9" s="86">
        <f>IFERROR((SUM(B9-G9)/G9),0)</f>
        <v/>
      </c>
      <c r="I9" s="86">
        <f>IFERROR((SUM(B9-D9)/D9),0)</f>
        <v/>
      </c>
      <c r="J9" s="311" t="n">
        <v>673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4004.5</v>
      </c>
      <c r="U9" s="26" t="n"/>
      <c r="W9" s="238" t="n">
        <v>41903.69</v>
      </c>
      <c r="X9" s="386">
        <f>W9/1.15</f>
        <v/>
      </c>
      <c r="Z9" s="238" t="n">
        <v>28872.36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158185.78</v>
      </c>
      <c r="C10" s="310" t="n">
        <v>229895.69</v>
      </c>
      <c r="D10" s="310" t="n">
        <v>191397.82</v>
      </c>
      <c r="E10" s="86">
        <f>IFERROR((SUM(B10-C10)/C10),0)</f>
        <v/>
      </c>
      <c r="F10" s="310" t="n">
        <v>342809.32</v>
      </c>
      <c r="G10" s="310" t="n">
        <v>207551.54</v>
      </c>
      <c r="H10" s="86">
        <f>IFERROR((SUM(B10-G10)/G10),0)</f>
        <v/>
      </c>
      <c r="I10" s="86">
        <f>IFERROR((SUM(B10-D10)/D10),0)</f>
        <v/>
      </c>
      <c r="J10" s="311" t="n">
        <v>542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8887.08</v>
      </c>
      <c r="U10" s="26" t="n"/>
      <c r="W10" s="238" t="n">
        <v>15388.33</v>
      </c>
      <c r="X10" s="386">
        <f>W10/1.15</f>
        <v/>
      </c>
      <c r="Z10" s="238" t="n">
        <v>19118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146668.79</v>
      </c>
      <c r="C11" s="310" t="n">
        <v>136438.83</v>
      </c>
      <c r="D11" s="310" t="n">
        <v>86713.33</v>
      </c>
      <c r="E11" s="86">
        <f>IFERROR((SUM(B11-C11)/C11),0)</f>
        <v/>
      </c>
      <c r="F11" s="310" t="n">
        <v>255506.69</v>
      </c>
      <c r="G11" s="310" t="n">
        <v>124702.84</v>
      </c>
      <c r="H11" s="86">
        <f>IFERROR((SUM(B11-G11)/G11),0)</f>
        <v/>
      </c>
      <c r="I11" s="86">
        <f>IFERROR((SUM(B11-D11)/D11),0)</f>
        <v/>
      </c>
      <c r="J11" s="311" t="n">
        <v>502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4387.15</v>
      </c>
      <c r="U11" s="26" t="n"/>
      <c r="W11" s="238" t="n">
        <v>57373.69</v>
      </c>
      <c r="X11" s="386">
        <f>W11/1.15</f>
        <v/>
      </c>
      <c r="Z11" s="238" t="n">
        <v>30470.76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217602.7</v>
      </c>
      <c r="C12" s="310" t="n">
        <v>214787.51</v>
      </c>
      <c r="D12" s="310" t="n">
        <v>206751.49</v>
      </c>
      <c r="E12" s="86">
        <f>IFERROR((SUM(B12-C12)/C12),0)</f>
        <v/>
      </c>
      <c r="F12" s="310" t="n">
        <v>392291.58</v>
      </c>
      <c r="G12" s="310" t="n">
        <v>171421.97</v>
      </c>
      <c r="H12" s="86">
        <f>IFERROR((SUM(B12-G12)/G12),0)</f>
        <v/>
      </c>
      <c r="I12" s="86">
        <f>IFERROR((SUM(B12-D12)/D12),0)</f>
        <v/>
      </c>
      <c r="J12" s="311" t="n">
        <v>720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5152.6</v>
      </c>
      <c r="U12" s="9" t="n"/>
      <c r="W12" s="238" t="n">
        <v>43328.31</v>
      </c>
      <c r="X12" s="386">
        <f>W12/1.15</f>
        <v/>
      </c>
      <c r="Z12" s="238" t="n">
        <v>41576.36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176484.39</v>
      </c>
      <c r="C13" s="310" t="n">
        <v>191737.13</v>
      </c>
      <c r="D13" s="310" t="n"/>
      <c r="E13" s="86">
        <f>IFERROR((SUM(B13-C13)/C13),0)</f>
        <v/>
      </c>
      <c r="F13" s="310" t="n">
        <v>322086.2</v>
      </c>
      <c r="G13" s="310" t="n">
        <v>176783.81</v>
      </c>
      <c r="H13" s="86">
        <f>IFERROR((SUM(B13-G13)/G13),0)</f>
        <v/>
      </c>
      <c r="I13" s="86">
        <f>IFERROR((SUM(B13-D13)/D13),0)</f>
        <v/>
      </c>
      <c r="J13" s="311" t="n">
        <v>601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4762.5</v>
      </c>
      <c r="U13" s="9" t="n"/>
      <c r="W13" s="238" t="n">
        <v>25448.32</v>
      </c>
      <c r="X13" s="386">
        <f>W13/1.15</f>
        <v/>
      </c>
      <c r="Z13" s="238" t="n">
        <v>31924.93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137720.98</v>
      </c>
      <c r="C14" s="310" t="n">
        <v>178528.49</v>
      </c>
      <c r="D14" s="310" t="n">
        <v>144600.03</v>
      </c>
      <c r="E14" s="86">
        <f>IFERROR((SUM(B14-C14)/C14),0)</f>
        <v/>
      </c>
      <c r="F14" s="310" t="n">
        <v>289457.73</v>
      </c>
      <c r="G14" s="310" t="n">
        <v>150013.85</v>
      </c>
      <c r="H14" s="86">
        <f>IFERROR((SUM(B14-G14)/G14),0)</f>
        <v/>
      </c>
      <c r="I14" s="86">
        <f>IFERROR((SUM(B14-D14)/D14),0)</f>
        <v/>
      </c>
      <c r="J14" s="311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1295.15</v>
      </c>
      <c r="U14" s="26" t="n"/>
      <c r="W14" s="238" t="n">
        <v>36807.18</v>
      </c>
      <c r="X14" s="386">
        <f>W14/1.15</f>
        <v/>
      </c>
      <c r="Z14" s="238" t="n">
        <v>27661.04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154324.73</v>
      </c>
      <c r="C15" s="310" t="n">
        <v>164266.12</v>
      </c>
      <c r="D15" s="310" t="n">
        <v>152846.04</v>
      </c>
      <c r="E15" s="86">
        <f>IFERROR((SUM(B15-C15)/C15),0)</f>
        <v/>
      </c>
      <c r="F15" s="310" t="n">
        <v>285284.73</v>
      </c>
      <c r="G15" s="310" t="n">
        <v>130813.15</v>
      </c>
      <c r="H15" s="86">
        <f>IFERROR((SUM(B15-G15)/G15),0)</f>
        <v/>
      </c>
      <c r="I15" s="86">
        <f>IFERROR((SUM(B15-D15)/D15),0)</f>
        <v/>
      </c>
      <c r="J15" s="311" t="n">
        <v>540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6304.75</v>
      </c>
      <c r="U15" s="26" t="n"/>
      <c r="W15" s="238" t="n">
        <v>19802.36</v>
      </c>
      <c r="X15" s="388">
        <f>W15/1.15</f>
        <v/>
      </c>
      <c r="Z15" s="238" t="n">
        <v>24775.72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365936.04</v>
      </c>
      <c r="C5" s="310" t="n">
        <v>327318.79</v>
      </c>
      <c r="D5" s="310" t="n">
        <v>166877.21</v>
      </c>
      <c r="E5" s="86">
        <f>IFERROR((SUM(B5-C5)/C5),0)</f>
        <v/>
      </c>
      <c r="F5" s="310" t="n">
        <v>935092</v>
      </c>
      <c r="G5" s="310" t="n">
        <v>285092.86</v>
      </c>
      <c r="H5" s="86">
        <f>IFERROR((SUM(B5-G5)/G5),0)</f>
        <v/>
      </c>
      <c r="I5" s="86">
        <f>IFERROR((SUM(B5-D5)/D5),0)</f>
        <v/>
      </c>
      <c r="J5" s="311" t="n">
        <v>1103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3234.2</v>
      </c>
      <c r="U5" s="9" t="n"/>
      <c r="W5" s="385" t="n"/>
      <c r="X5" s="386">
        <f>W5/1.15</f>
        <v/>
      </c>
      <c r="Z5" s="238" t="n">
        <v>31977.5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239113.47</v>
      </c>
      <c r="C6" s="310" t="n">
        <v>225755.62</v>
      </c>
      <c r="D6" s="310" t="n">
        <v>317233.92</v>
      </c>
      <c r="E6" s="86">
        <f>IFERROR((SUM(B6-C6)/C6),0)</f>
        <v/>
      </c>
      <c r="F6" s="310" t="n">
        <v>654974.7</v>
      </c>
      <c r="G6" s="310" t="n">
        <v>245857.17</v>
      </c>
      <c r="H6" s="86">
        <f>IFERROR((SUM(B6-G6)/G6),0)</f>
        <v/>
      </c>
      <c r="I6" s="86">
        <f>IFERROR((SUM(B6-D6)/D6),0)</f>
        <v/>
      </c>
      <c r="J6" s="311" t="n">
        <v>778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8272.02</v>
      </c>
      <c r="U6" s="26" t="n"/>
      <c r="W6" s="238" t="n">
        <v>48401.1</v>
      </c>
      <c r="X6" s="386">
        <f>W6/1.15</f>
        <v/>
      </c>
      <c r="Z6" s="238" t="n">
        <v>25944.27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275797.64</v>
      </c>
      <c r="C7" s="310" t="n">
        <v>218640.04</v>
      </c>
      <c r="D7" s="310" t="n">
        <v>254835.6</v>
      </c>
      <c r="E7" s="86">
        <f>IFERROR((SUM(B7-C7)/C7),0)</f>
        <v/>
      </c>
      <c r="F7" s="310" t="n">
        <v>690335.4300000001</v>
      </c>
      <c r="G7" s="310" t="n">
        <v>265554.03</v>
      </c>
      <c r="H7" s="86">
        <f>IFERROR((SUM(B7-G7)/G7),0)</f>
        <v/>
      </c>
      <c r="I7" s="86">
        <f>IFERROR((SUM(B7-D7)/D7),0)</f>
        <v/>
      </c>
      <c r="J7" s="311" t="n">
        <v>760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5454.47</v>
      </c>
      <c r="U7" s="26" t="n"/>
      <c r="W7" s="238" t="n">
        <v>47244.17</v>
      </c>
      <c r="X7" s="386">
        <f>W7/1.15</f>
        <v/>
      </c>
      <c r="Z7" s="238" t="n">
        <v>4128.88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174381.63</v>
      </c>
      <c r="C8" s="310" t="n">
        <v>128595.12</v>
      </c>
      <c r="D8" s="310" t="n">
        <v>125945.97</v>
      </c>
      <c r="E8" s="86">
        <f>IFERROR((SUM(B8-C8)/C8),0)</f>
        <v/>
      </c>
      <c r="F8" s="310" t="n">
        <v>408066.09</v>
      </c>
      <c r="G8" s="310" t="n">
        <v>156319.55</v>
      </c>
      <c r="H8" s="86">
        <f>IFERROR((SUM(B8-G8)/G8),0)</f>
        <v/>
      </c>
      <c r="I8" s="86">
        <f>IFERROR((SUM(B8-D8)/D8),0)</f>
        <v/>
      </c>
      <c r="J8" s="311" t="n">
        <v>577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6808.74</v>
      </c>
      <c r="U8" s="9" t="n"/>
      <c r="W8" s="238" t="n">
        <v>34220.6</v>
      </c>
      <c r="X8" s="386">
        <f>W8/1.15</f>
        <v/>
      </c>
      <c r="Z8" s="238" t="n">
        <v>27495.67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286745.38</v>
      </c>
      <c r="C9" s="310" t="n">
        <v>198421.22</v>
      </c>
      <c r="D9" s="310" t="n">
        <v>243010.12</v>
      </c>
      <c r="E9" s="86">
        <f>IFERROR((SUM(B9-C9)/C9),0)</f>
        <v/>
      </c>
      <c r="F9" s="310" t="n">
        <v>657546.36</v>
      </c>
      <c r="G9" s="310" t="n">
        <v>239450.65</v>
      </c>
      <c r="H9" s="86">
        <f>IFERROR((SUM(B9-G9)/G9),0)</f>
        <v/>
      </c>
      <c r="I9" s="86">
        <f>IFERROR((SUM(B9-D9)/D9),0)</f>
        <v/>
      </c>
      <c r="J9" s="311" t="n">
        <v>943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5181.5</v>
      </c>
      <c r="U9" s="26" t="n"/>
      <c r="W9" s="238" t="n">
        <v>44399.24</v>
      </c>
      <c r="X9" s="386">
        <f>W9/1.15</f>
        <v/>
      </c>
      <c r="Z9" s="238" t="n">
        <v>43181.22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203270.01</v>
      </c>
      <c r="C10" s="310" t="n">
        <v>158185.78</v>
      </c>
      <c r="D10" s="310" t="n">
        <v>191397.82</v>
      </c>
      <c r="E10" s="86">
        <f>IFERROR((SUM(B10-C10)/C10),0)</f>
        <v/>
      </c>
      <c r="F10" s="310" t="n">
        <v>546079.33</v>
      </c>
      <c r="G10" s="310" t="n">
        <v>254328.75</v>
      </c>
      <c r="H10" s="86">
        <f>IFERROR((SUM(B10-G10)/G10),0)</f>
        <v/>
      </c>
      <c r="I10" s="86">
        <f>IFERROR((SUM(B10-D10)/D10),0)</f>
        <v/>
      </c>
      <c r="J10" s="311" t="n">
        <v>683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11305.79</v>
      </c>
      <c r="U10" s="26" t="n"/>
      <c r="W10" s="238" t="n">
        <v>21601.02</v>
      </c>
      <c r="X10" s="386">
        <f>W10/1.15</f>
        <v/>
      </c>
      <c r="Z10" s="238" t="n">
        <v>29678.68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161376.59</v>
      </c>
      <c r="C11" s="310" t="n">
        <v>146668.79</v>
      </c>
      <c r="D11" s="310" t="n">
        <v>86713.33</v>
      </c>
      <c r="E11" s="86">
        <f>IFERROR((SUM(B11-C11)/C11),0)</f>
        <v/>
      </c>
      <c r="F11" s="310" t="n">
        <v>416883.28</v>
      </c>
      <c r="G11" s="310" t="n">
        <v>135242.6</v>
      </c>
      <c r="H11" s="86">
        <f>IFERROR((SUM(B11-G11)/G11),0)</f>
        <v/>
      </c>
      <c r="I11" s="86">
        <f>IFERROR((SUM(B11-D11)/D11),0)</f>
        <v/>
      </c>
      <c r="J11" s="311" t="n">
        <v>569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1883.5</v>
      </c>
      <c r="U11" s="26" t="n"/>
      <c r="W11" s="238" t="n">
        <v>59317.99</v>
      </c>
      <c r="X11" s="386">
        <f>W11/1.15</f>
        <v/>
      </c>
      <c r="Z11" s="238" t="n">
        <v>27404.8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229013.27</v>
      </c>
      <c r="C12" s="310" t="n">
        <v>217602.7</v>
      </c>
      <c r="D12" s="310" t="n">
        <v>206751.49</v>
      </c>
      <c r="E12" s="86">
        <f>IFERROR((SUM(B12-C12)/C12),0)</f>
        <v/>
      </c>
      <c r="F12" s="310" t="n">
        <v>621304.85</v>
      </c>
      <c r="G12" s="310" t="n">
        <v>185899.75</v>
      </c>
      <c r="H12" s="86">
        <f>IFERROR((SUM(B12-G12)/G12),0)</f>
        <v/>
      </c>
      <c r="I12" s="86">
        <f>IFERROR((SUM(B12-D12)/D12),0)</f>
        <v/>
      </c>
      <c r="J12" s="311" t="n">
        <v>794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3210</v>
      </c>
      <c r="U12" s="9" t="n"/>
      <c r="W12" s="238" t="n">
        <v>246956</v>
      </c>
      <c r="X12" s="386">
        <f>W12/1.15</f>
        <v/>
      </c>
      <c r="Z12" s="238" t="n">
        <v>37786.05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186426.95</v>
      </c>
      <c r="C13" s="310" t="n">
        <v>176484.39</v>
      </c>
      <c r="D13" s="310" t="n"/>
      <c r="E13" s="86">
        <f>IFERROR((SUM(B13-C13)/C13),0)</f>
        <v/>
      </c>
      <c r="F13" s="310" t="n">
        <v>508513.15</v>
      </c>
      <c r="G13" s="310" t="n">
        <v>193115.24</v>
      </c>
      <c r="H13" s="86">
        <f>IFERROR((SUM(B13-G13)/G13),0)</f>
        <v/>
      </c>
      <c r="I13" s="86">
        <f>IFERROR((SUM(B13-D13)/D13),0)</f>
        <v/>
      </c>
      <c r="J13" s="311" t="n">
        <v>671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5883.75</v>
      </c>
      <c r="U13" s="9" t="n"/>
      <c r="W13" s="238" t="n">
        <v>29024.95</v>
      </c>
      <c r="X13" s="386">
        <f>W13/1.15</f>
        <v/>
      </c>
      <c r="Z13" s="238" t="n">
        <v>32117.12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180224.26</v>
      </c>
      <c r="C14" s="310" t="n">
        <v>137720.98</v>
      </c>
      <c r="D14" s="310" t="n">
        <v>144600.03</v>
      </c>
      <c r="E14" s="86">
        <f>IFERROR((SUM(B14-C14)/C14),0)</f>
        <v/>
      </c>
      <c r="F14" s="310" t="n">
        <v>469681.99</v>
      </c>
      <c r="G14" s="310" t="n">
        <v>195597.79</v>
      </c>
      <c r="H14" s="86">
        <f>IFERROR((SUM(B14-G14)/G14),0)</f>
        <v/>
      </c>
      <c r="I14" s="86">
        <f>IFERROR((SUM(B14-D14)/D14),0)</f>
        <v/>
      </c>
      <c r="J14" s="311" t="n">
        <v>550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2670.2</v>
      </c>
      <c r="U14" s="26" t="n"/>
      <c r="W14" s="238" t="n">
        <v>49390.86</v>
      </c>
      <c r="X14" s="386">
        <f>W14/1.15</f>
        <v/>
      </c>
      <c r="Z14" s="238" t="n">
        <v>27582.89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220209.79</v>
      </c>
      <c r="C15" s="310" t="n">
        <v>154324.73</v>
      </c>
      <c r="D15" s="310" t="n">
        <v>152846.04</v>
      </c>
      <c r="E15" s="86">
        <f>IFERROR((SUM(B15-C15)/C15),0)</f>
        <v/>
      </c>
      <c r="F15" s="310" t="n">
        <v>505494.52</v>
      </c>
      <c r="G15" s="310" t="n">
        <v>144758.61</v>
      </c>
      <c r="H15" s="86">
        <f>IFERROR((SUM(B15-G15)/G15),0)</f>
        <v/>
      </c>
      <c r="I15" s="86">
        <f>IFERROR((SUM(B15-D15)/D15),0)</f>
        <v/>
      </c>
      <c r="J15" s="311" t="n">
        <v>697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2874.5</v>
      </c>
      <c r="U15" s="26" t="n"/>
      <c r="W15" s="238" t="n">
        <v>16361.98</v>
      </c>
      <c r="X15" s="388">
        <f>W15/1.15</f>
        <v/>
      </c>
      <c r="Z15" s="238" t="n">
        <v>32147.42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conditionalFormatting sqref="W5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296067.74</v>
      </c>
      <c r="C5" s="310" t="n">
        <v>365936.04</v>
      </c>
      <c r="D5" s="310" t="n">
        <v>166877.21</v>
      </c>
      <c r="E5" s="86">
        <f>IFERROR((SUM(B5-C5)/C5),0)</f>
        <v/>
      </c>
      <c r="F5" s="310" t="n">
        <v>1202648.17</v>
      </c>
      <c r="G5" s="310" t="n">
        <v>243303.6</v>
      </c>
      <c r="H5" s="86">
        <f>IFERROR((SUM(B5-G5)/G5),0)</f>
        <v/>
      </c>
      <c r="I5" s="86">
        <f>IFERROR((SUM(B5-D5)/D5),0)</f>
        <v/>
      </c>
      <c r="J5" s="311" t="n">
        <v>898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1543.9</v>
      </c>
      <c r="U5" s="9" t="n"/>
      <c r="W5" s="362" t="n"/>
      <c r="X5" s="386">
        <f>W5/1.15</f>
        <v/>
      </c>
      <c r="Y5" s="451" t="n"/>
      <c r="Z5" s="447" t="n">
        <v>32884.8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236901.33</v>
      </c>
      <c r="C6" s="310" t="n">
        <v>239113.47</v>
      </c>
      <c r="D6" s="310" t="n">
        <v>317233.92</v>
      </c>
      <c r="E6" s="86">
        <f>IFERROR((SUM(B6-C6)/C6),0)</f>
        <v/>
      </c>
      <c r="F6" s="310" t="n">
        <v>891876.03</v>
      </c>
      <c r="G6" s="310" t="n">
        <v>232444.11</v>
      </c>
      <c r="H6" s="86">
        <f>IFERROR((SUM(B6-G6)/G6),0)</f>
        <v/>
      </c>
      <c r="I6" s="86">
        <f>IFERROR((SUM(B6-D6)/D6),0)</f>
        <v/>
      </c>
      <c r="J6" s="311" t="n">
        <v>752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8084.94</v>
      </c>
      <c r="U6" s="26" t="n"/>
      <c r="V6" s="449" t="n"/>
      <c r="W6" s="447" t="n">
        <v>54291.96</v>
      </c>
      <c r="X6" s="386">
        <f>W6/1.15</f>
        <v/>
      </c>
      <c r="Y6" s="451" t="n"/>
      <c r="Z6" s="447" t="n">
        <v>24988.43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244342.49</v>
      </c>
      <c r="C7" s="310" t="n">
        <v>275797.64</v>
      </c>
      <c r="D7" s="310" t="n">
        <v>254835.6</v>
      </c>
      <c r="E7" s="86">
        <f>IFERROR((SUM(B7-C7)/C7),0)</f>
        <v/>
      </c>
      <c r="F7" s="310" t="n">
        <v>918817.33</v>
      </c>
      <c r="G7" s="310" t="n">
        <v>239048.72</v>
      </c>
      <c r="H7" s="86">
        <f>IFERROR((SUM(B7-G7)/G7),0)</f>
        <v/>
      </c>
      <c r="I7" s="86">
        <f>IFERROR((SUM(B7-D7)/D7),0)</f>
        <v/>
      </c>
      <c r="J7" s="311" t="n">
        <v>761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8180.04</v>
      </c>
      <c r="U7" s="26" t="n"/>
      <c r="V7" s="449" t="n"/>
      <c r="W7" s="447" t="n">
        <v>52907.63</v>
      </c>
      <c r="X7" s="386">
        <f>W7/1.15</f>
        <v/>
      </c>
      <c r="Y7" s="451" t="n"/>
      <c r="Z7" s="447" t="n">
        <v>6340.85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160772.2</v>
      </c>
      <c r="C8" s="310" t="n">
        <v>174381.63</v>
      </c>
      <c r="D8" s="310" t="n">
        <v>125945.97</v>
      </c>
      <c r="E8" s="86">
        <f>IFERROR((SUM(B8-C8)/C8),0)</f>
        <v/>
      </c>
      <c r="F8" s="310" t="n">
        <v>556427.6800000001</v>
      </c>
      <c r="G8" s="310" t="n">
        <v>152682.18</v>
      </c>
      <c r="H8" s="86">
        <f>IFERROR((SUM(B8-G8)/G8),0)</f>
        <v/>
      </c>
      <c r="I8" s="86">
        <f>IFERROR((SUM(B8-D8)/D8),0)</f>
        <v/>
      </c>
      <c r="J8" s="311" t="n">
        <v>550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5251.1</v>
      </c>
      <c r="U8" s="9" t="n"/>
      <c r="V8" s="449" t="n"/>
      <c r="W8" s="447" t="n">
        <v>38177.31</v>
      </c>
      <c r="X8" s="386">
        <f>W8/1.15</f>
        <v/>
      </c>
      <c r="Y8" s="451" t="n"/>
      <c r="Z8" s="447" t="n">
        <v>36157.2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232807.6</v>
      </c>
      <c r="C9" s="310" t="n">
        <v>286745.38</v>
      </c>
      <c r="D9" s="310" t="n">
        <v>243010.12</v>
      </c>
      <c r="E9" s="86">
        <f>IFERROR((SUM(B9-C9)/C9),0)</f>
        <v/>
      </c>
      <c r="F9" s="310" t="n">
        <v>874032.55</v>
      </c>
      <c r="G9" s="310" t="n">
        <v>220664.45</v>
      </c>
      <c r="H9" s="86">
        <f>IFERROR((SUM(B9-G9)/G9),0)</f>
        <v/>
      </c>
      <c r="I9" s="86">
        <f>IFERROR((SUM(B9-D9)/D9),0)</f>
        <v/>
      </c>
      <c r="J9" s="311" t="n">
        <v>802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6147</v>
      </c>
      <c r="U9" s="26" t="n"/>
      <c r="V9" s="449" t="n"/>
      <c r="W9" s="447" t="n">
        <v>41253.05</v>
      </c>
      <c r="X9" s="386">
        <f>W9/1.15</f>
        <v/>
      </c>
      <c r="Y9" s="451" t="n"/>
      <c r="Z9" s="447" t="n">
        <v>36100.33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>
        <v>132305.98</v>
      </c>
      <c r="C10" s="310" t="n">
        <v>203270.01</v>
      </c>
      <c r="D10" s="310" t="n">
        <v>191397.82</v>
      </c>
      <c r="E10" s="86">
        <f>IFERROR((SUM(B10-C10)/C10),0)</f>
        <v/>
      </c>
      <c r="F10" s="310" t="n">
        <v>668014.29</v>
      </c>
      <c r="G10" s="310" t="n">
        <v>243180.16</v>
      </c>
      <c r="H10" s="86">
        <f>IFERROR((SUM(B10-G10)/G10),0)</f>
        <v/>
      </c>
      <c r="I10" s="86">
        <f>IFERROR((SUM(B10-D10)/D10),0)</f>
        <v/>
      </c>
      <c r="J10" s="311" t="n">
        <v>461</v>
      </c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>
        <v>7682.24</v>
      </c>
      <c r="U10" s="26" t="n"/>
      <c r="V10" s="449" t="n"/>
      <c r="W10" s="447" t="n">
        <v>18689.34</v>
      </c>
      <c r="X10" s="386">
        <f>W10/1.15</f>
        <v/>
      </c>
      <c r="Y10" s="451" t="n"/>
      <c r="Z10" s="447" t="n">
        <v>20688.68</v>
      </c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142849.51</v>
      </c>
      <c r="C11" s="310" t="n">
        <v>161376.59</v>
      </c>
      <c r="D11" s="310" t="n">
        <v>86713.33</v>
      </c>
      <c r="E11" s="86">
        <f>IFERROR((SUM(B11-C11)/C11),0)</f>
        <v/>
      </c>
      <c r="F11" s="310" t="n">
        <v>548326.4</v>
      </c>
      <c r="G11" s="310" t="n">
        <v>135782.1</v>
      </c>
      <c r="H11" s="86">
        <f>IFERROR((SUM(B11-G11)/G11),0)</f>
        <v/>
      </c>
      <c r="I11" s="86">
        <f>IFERROR((SUM(B11-D11)/D11),0)</f>
        <v/>
      </c>
      <c r="J11" s="311" t="n">
        <v>518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0" t="n">
        <v>2404.25</v>
      </c>
      <c r="U11" s="26" t="n"/>
      <c r="V11" s="449" t="n"/>
      <c r="W11" s="447" t="n">
        <v>46682.55</v>
      </c>
      <c r="X11" s="386">
        <f>W11/1.15</f>
        <v/>
      </c>
      <c r="Y11" s="451" t="n"/>
      <c r="Z11" s="447" t="n">
        <v>25035.24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239905.45</v>
      </c>
      <c r="C12" s="310" t="n">
        <v>229013.27</v>
      </c>
      <c r="D12" s="310" t="n">
        <v>206751.49</v>
      </c>
      <c r="E12" s="86">
        <f>IFERROR((SUM(B12-C12)/C12),0)</f>
        <v/>
      </c>
      <c r="F12" s="310" t="n">
        <v>843885.6</v>
      </c>
      <c r="G12" s="310" t="n">
        <v>205896.16</v>
      </c>
      <c r="H12" s="86">
        <f>IFERROR((SUM(B12-G12)/G12),0)</f>
        <v/>
      </c>
      <c r="I12" s="86">
        <f>IFERROR((SUM(B12-D12)/D12),0)</f>
        <v/>
      </c>
      <c r="J12" s="311" t="n">
        <v>796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3775</v>
      </c>
      <c r="U12" s="9" t="n"/>
      <c r="V12" s="449" t="n"/>
      <c r="W12" s="447" t="n">
        <v>40102.04</v>
      </c>
      <c r="X12" s="386">
        <f>W12/1.15</f>
        <v/>
      </c>
      <c r="Y12" s="451" t="n"/>
      <c r="Z12" s="447" t="n">
        <v>43902.05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206239.3</v>
      </c>
      <c r="C13" s="310" t="n">
        <v>186426.95</v>
      </c>
      <c r="D13" s="310" t="n"/>
      <c r="E13" s="86">
        <f>IFERROR((SUM(B13-C13)/C13),0)</f>
        <v/>
      </c>
      <c r="F13" s="310" t="n">
        <v>700192.7</v>
      </c>
      <c r="G13" s="310" t="n">
        <v>158701.21</v>
      </c>
      <c r="H13" s="86">
        <f>IFERROR((SUM(B13-G13)/G13),0)</f>
        <v/>
      </c>
      <c r="I13" s="86">
        <f>IFERROR((SUM(B13-D13)/D13),0)</f>
        <v/>
      </c>
      <c r="J13" s="311" t="n">
        <v>721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3874</v>
      </c>
      <c r="U13" s="9" t="n"/>
      <c r="V13" s="449" t="n"/>
      <c r="W13" s="447" t="n">
        <v>32327.4</v>
      </c>
      <c r="X13" s="386">
        <f>W13/1.15</f>
        <v/>
      </c>
      <c r="Y13" s="451" t="n"/>
      <c r="Z13" s="447" t="n">
        <v>32565.19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133573.72</v>
      </c>
      <c r="C14" s="310" t="n">
        <v>180224.26</v>
      </c>
      <c r="D14" s="310" t="n">
        <v>144600.03</v>
      </c>
      <c r="E14" s="86">
        <f>IFERROR((SUM(B14-C14)/C14),0)</f>
        <v/>
      </c>
      <c r="F14" s="310" t="n">
        <v>593294</v>
      </c>
      <c r="G14" s="310" t="n">
        <v>146542.06</v>
      </c>
      <c r="H14" s="86">
        <f>IFERROR((SUM(B14-G14)/G14),0)</f>
        <v/>
      </c>
      <c r="I14" s="86">
        <f>IFERROR((SUM(B14-D14)/D14),0)</f>
        <v/>
      </c>
      <c r="J14" s="311" t="n">
        <v>429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2184.4</v>
      </c>
      <c r="U14" s="26" t="n"/>
      <c r="V14" s="449" t="n"/>
      <c r="W14" s="447" t="n">
        <v>26331.74</v>
      </c>
      <c r="X14" s="386">
        <f>W14/1.15</f>
        <v/>
      </c>
      <c r="Y14" s="451" t="n"/>
      <c r="Z14" s="447" t="n">
        <v>20069.4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149964.4</v>
      </c>
      <c r="C15" s="310" t="n">
        <v>220209.79</v>
      </c>
      <c r="D15" s="310" t="n">
        <v>152846.04</v>
      </c>
      <c r="E15" s="86">
        <f>IFERROR((SUM(B15-C15)/C15),0)</f>
        <v/>
      </c>
      <c r="F15" s="310" t="n">
        <v>639054.73</v>
      </c>
      <c r="G15" s="310" t="n">
        <v>131242.27</v>
      </c>
      <c r="H15" s="86">
        <f>IFERROR((SUM(B15-G15)/G15),0)</f>
        <v/>
      </c>
      <c r="I15" s="86">
        <f>IFERROR((SUM(B15-D15)/D15),0)</f>
        <v/>
      </c>
      <c r="J15" s="311" t="n">
        <v>513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1939.93</v>
      </c>
      <c r="U15" s="26" t="n"/>
      <c r="V15" s="449" t="n"/>
      <c r="W15" s="450" t="n">
        <v>20196.36</v>
      </c>
      <c r="X15" s="388">
        <f>W15/1.15</f>
        <v/>
      </c>
      <c r="Y15" s="451" t="n"/>
      <c r="Z15" s="448" t="n">
        <v>26961.3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4" operator="equal" dxfId="0">
      <formula>0</formula>
    </cfRule>
  </conditionalFormatting>
  <conditionalFormatting sqref="P12:P13">
    <cfRule type="cellIs" priority="2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s="310" t="n">
        <v>289319.99</v>
      </c>
      <c r="C5" s="310" t="n">
        <v>296067.74</v>
      </c>
      <c r="D5" s="310" t="n">
        <v>166877.21</v>
      </c>
      <c r="E5" s="86">
        <f>IFERROR((SUM(B5-C5)/C5),0)</f>
        <v/>
      </c>
      <c r="F5" s="238" t="n">
        <v>222432.32</v>
      </c>
      <c r="G5" s="238" t="n">
        <v>241742.72</v>
      </c>
      <c r="H5" s="86">
        <f>IFERROR((SUM(B5-G5)/G5),0)</f>
        <v/>
      </c>
      <c r="I5" s="86">
        <f>IFERROR((SUM(B5-D5)/D5),0)</f>
        <v/>
      </c>
      <c r="J5" s="311" t="n">
        <v>902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2399.74</v>
      </c>
      <c r="U5" s="9" t="n"/>
      <c r="W5" s="362" t="n"/>
      <c r="X5" s="386">
        <f>W5/1.15</f>
        <v/>
      </c>
      <c r="Y5" s="451" t="n"/>
      <c r="Z5" t="n">
        <v>32554.5</v>
      </c>
      <c r="AA5" s="386">
        <f>SUM(Z5)/1.15</f>
        <v/>
      </c>
    </row>
    <row r="6" ht="15.6" customHeight="1">
      <c r="A6" s="445" t="inlineStr">
        <is>
          <t>Eagles Landing</t>
        </is>
      </c>
      <c r="B6" s="310" t="n">
        <v>254321.2</v>
      </c>
      <c r="C6" s="310" t="n">
        <v>236901.33</v>
      </c>
      <c r="D6" s="310" t="n">
        <v>317233.92</v>
      </c>
      <c r="E6" s="86">
        <f>IFERROR((SUM(B6-C6)/C6),0)</f>
        <v/>
      </c>
      <c r="F6" s="238" t="n">
        <v>204389.87</v>
      </c>
      <c r="G6" s="238" t="n">
        <v>224089.43</v>
      </c>
      <c r="H6" s="86">
        <f>IFERROR((SUM(B6-G6)/G6),0)</f>
        <v/>
      </c>
      <c r="I6" s="86">
        <f>IFERROR((SUM(B6-D6)/D6),0)</f>
        <v/>
      </c>
      <c r="J6" s="311" t="n">
        <v>816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9429.629999999999</v>
      </c>
      <c r="U6" s="26" t="n"/>
      <c r="V6" s="449" t="n"/>
      <c r="W6" t="n">
        <v>49358.65</v>
      </c>
      <c r="X6" s="386">
        <f>W6/1.15</f>
        <v/>
      </c>
      <c r="Y6" s="451" t="n"/>
      <c r="Z6" t="n">
        <v>24954.71</v>
      </c>
      <c r="AA6" s="386">
        <f>SUM(Z6)/1.15</f>
        <v/>
      </c>
    </row>
    <row r="7" ht="16.5" customHeight="1">
      <c r="A7" s="445" t="inlineStr">
        <is>
          <t>Irene Village</t>
        </is>
      </c>
      <c r="B7" s="310" t="n">
        <v>215892.02</v>
      </c>
      <c r="C7" s="310" t="n">
        <v>244342.49</v>
      </c>
      <c r="D7" s="310" t="n">
        <v>254835.6</v>
      </c>
      <c r="E7" s="86">
        <f>IFERROR((SUM(B7-C7)/C7),0)</f>
        <v/>
      </c>
      <c r="F7" s="238" t="n">
        <v>176467.25</v>
      </c>
      <c r="G7" s="238" t="n">
        <v>218365.17</v>
      </c>
      <c r="H7" s="86">
        <f>IFERROR((SUM(B7-G7)/G7),0)</f>
        <v/>
      </c>
      <c r="I7" s="86">
        <f>IFERROR((SUM(B7-D7)/D7),0)</f>
        <v/>
      </c>
      <c r="J7" s="311" t="n">
        <v>683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5187.95</v>
      </c>
      <c r="U7" s="26" t="n"/>
      <c r="V7" s="449" t="n"/>
      <c r="W7" t="n">
        <v>48925.29</v>
      </c>
      <c r="X7" s="386">
        <f>W7/1.15</f>
        <v/>
      </c>
      <c r="Y7" s="451" t="n"/>
      <c r="Z7" t="n">
        <v>4271.88</v>
      </c>
      <c r="AA7" s="386">
        <f>SUM(Z7)/1.15</f>
        <v/>
      </c>
    </row>
    <row r="8" ht="15.6" customHeight="1">
      <c r="A8" s="12" t="inlineStr">
        <is>
          <t>Kyalami Corner</t>
        </is>
      </c>
      <c r="B8" s="310" t="n">
        <v>151281.76</v>
      </c>
      <c r="C8" s="310" t="n">
        <v>160772.2</v>
      </c>
      <c r="D8" s="310" t="n">
        <v>125945.97</v>
      </c>
      <c r="E8" s="86">
        <f>IFERROR((SUM(B8-C8)/C8),0)</f>
        <v/>
      </c>
      <c r="F8" s="238" t="n">
        <v>121647.85</v>
      </c>
      <c r="G8" s="238" t="n">
        <v>145092.71</v>
      </c>
      <c r="H8" s="86">
        <f>IFERROR((SUM(B8-G8)/G8),0)</f>
        <v/>
      </c>
      <c r="I8" s="86">
        <f>IFERROR((SUM(B8-D8)/D8),0)</f>
        <v/>
      </c>
      <c r="J8" s="311" t="n">
        <v>542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7008.14</v>
      </c>
      <c r="U8" s="9" t="n"/>
      <c r="V8" s="449" t="n"/>
      <c r="W8" t="n">
        <v>41780.73</v>
      </c>
      <c r="X8" s="386">
        <f>W8/1.15</f>
        <v/>
      </c>
      <c r="Y8" s="451" t="n"/>
      <c r="Z8" t="n">
        <v>24021.5</v>
      </c>
      <c r="AA8" s="386">
        <f>SUM(Z8)/1.15</f>
        <v/>
      </c>
    </row>
    <row r="9" ht="15.6" customHeight="1">
      <c r="A9" s="12" t="inlineStr">
        <is>
          <t>Lynnwood</t>
        </is>
      </c>
      <c r="B9" s="310" t="n">
        <v>246719.88</v>
      </c>
      <c r="C9" s="310" t="n">
        <v>232807.6</v>
      </c>
      <c r="D9" s="310" t="n">
        <v>243010.12</v>
      </c>
      <c r="E9" s="86">
        <f>IFERROR((SUM(B9-C9)/C9),0)</f>
        <v/>
      </c>
      <c r="F9" s="238" t="n">
        <v>200585.71</v>
      </c>
      <c r="G9" s="238" t="n">
        <v>228031.91</v>
      </c>
      <c r="H9" s="86">
        <f>IFERROR((SUM(B9-G9)/G9),0)</f>
        <v/>
      </c>
      <c r="I9" s="86">
        <f>IFERROR((SUM(B9-D9)/D9),0)</f>
        <v/>
      </c>
      <c r="J9" s="311" t="n">
        <v>832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4727</v>
      </c>
      <c r="U9" s="26" t="n"/>
      <c r="V9" s="449" t="n"/>
      <c r="W9" t="n">
        <v>40679.23</v>
      </c>
      <c r="X9" s="386">
        <f>W9/1.15</f>
        <v/>
      </c>
      <c r="Y9" s="451" t="n"/>
      <c r="Z9" t="n">
        <v>42797.09</v>
      </c>
      <c r="AA9" s="386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>
        <v>132305.98</v>
      </c>
      <c r="D10" s="310" t="n">
        <v>191397.82</v>
      </c>
      <c r="E10" s="86">
        <f>IFERROR((SUM(B10-C10)/C10),0)</f>
        <v/>
      </c>
      <c r="F10" s="310" t="n"/>
      <c r="G10" s="238" t="n">
        <v>205166.89</v>
      </c>
      <c r="H10" s="86">
        <f>IFERROR((SUM(B10-G10)/G10),0)</f>
        <v/>
      </c>
      <c r="I10" s="86">
        <f>IFERROR((SUM(B10-D10)/D10),0)</f>
        <v/>
      </c>
      <c r="J10" s="311" t="n"/>
      <c r="K10" s="63">
        <f>IFERROR(B10/J10,0)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SUM(P10/B10)</f>
        <v/>
      </c>
      <c r="R10" s="260">
        <f>SUM(AA10)</f>
        <v/>
      </c>
      <c r="S10" s="89">
        <f>SUM(R10/B10)</f>
        <v/>
      </c>
      <c r="T10" s="310" t="n"/>
      <c r="U10" s="26" t="n"/>
      <c r="V10" s="449" t="n"/>
      <c r="W10" s="447" t="n"/>
      <c r="X10" s="386">
        <f>W10/1.15</f>
        <v/>
      </c>
      <c r="Y10" s="451" t="n"/>
      <c r="Z10" s="447" t="n"/>
      <c r="AA10" s="386">
        <f>SUM(Z10)/1.15</f>
        <v/>
      </c>
    </row>
    <row r="11" ht="15.6" customHeight="1">
      <c r="A11" s="445" t="inlineStr">
        <is>
          <t>Melville</t>
        </is>
      </c>
      <c r="B11" s="310" t="n">
        <v>156534.45</v>
      </c>
      <c r="C11" s="310" t="n">
        <v>142849.51</v>
      </c>
      <c r="D11" s="310" t="n">
        <v>86713.33</v>
      </c>
      <c r="E11" s="86">
        <f>IFERROR((SUM(B11-C11)/C11),0)</f>
        <v/>
      </c>
      <c r="F11" s="238" t="n">
        <v>116785.44</v>
      </c>
      <c r="G11" s="238" t="n">
        <v>144923.59</v>
      </c>
      <c r="H11" s="86">
        <f>IFERROR((SUM(B11-G11)/G11),0)</f>
        <v/>
      </c>
      <c r="I11" s="86">
        <f>IFERROR((SUM(B11-D11)/D11),0)</f>
        <v/>
      </c>
      <c r="J11" s="311" t="n">
        <v>544</v>
      </c>
      <c r="K11" s="63">
        <f>IFERROR(B11/J11,0)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SUM(P11/B11)</f>
        <v/>
      </c>
      <c r="R11" s="260">
        <f>SUM(AA11)</f>
        <v/>
      </c>
      <c r="S11" s="89">
        <f>SUM(R11/B11)</f>
        <v/>
      </c>
      <c r="T11" s="311" t="n">
        <v>3492.9</v>
      </c>
      <c r="U11" s="26" t="n"/>
      <c r="V11" s="449" t="n"/>
      <c r="W11" t="n">
        <v>63906.42</v>
      </c>
      <c r="X11" s="386">
        <f>W11/1.15</f>
        <v/>
      </c>
      <c r="Y11" s="451" t="n"/>
      <c r="Z11" t="n">
        <v>21732.5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s="310" t="n">
        <v>199494.54</v>
      </c>
      <c r="C12" s="310" t="n">
        <v>239905.45</v>
      </c>
      <c r="D12" s="310" t="n">
        <v>206751.49</v>
      </c>
      <c r="E12" s="86">
        <f>IFERROR((SUM(B12-C12)/C12),0)</f>
        <v/>
      </c>
      <c r="F12" s="238" t="n">
        <v>166592.66</v>
      </c>
      <c r="G12" s="238" t="n">
        <v>181925.54</v>
      </c>
      <c r="H12" s="86">
        <f>IFERROR((SUM(B12-G12)/G12),0)</f>
        <v/>
      </c>
      <c r="I12" s="86">
        <f>IFERROR((SUM(B12-D12)/D12),0)</f>
        <v/>
      </c>
      <c r="J12" s="311" t="n">
        <v>723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3595.5</v>
      </c>
      <c r="U12" s="9" t="n"/>
      <c r="V12" s="449" t="n"/>
      <c r="W12" t="n">
        <v>34621.86</v>
      </c>
      <c r="X12" s="386">
        <f>W12/1.15</f>
        <v/>
      </c>
      <c r="Y12" s="451" t="n"/>
      <c r="Z12" t="n">
        <v>39724.17</v>
      </c>
      <c r="AA12" s="386">
        <f>SUM(Z12)/1.15</f>
        <v/>
      </c>
    </row>
    <row r="13" ht="15.6" customHeight="1">
      <c r="A13" s="12" t="inlineStr">
        <is>
          <t>Queenswood</t>
        </is>
      </c>
      <c r="B13" s="310" t="n">
        <v>186765.79</v>
      </c>
      <c r="C13" s="310" t="n">
        <v>206239.3</v>
      </c>
      <c r="D13" s="310" t="n"/>
      <c r="E13" s="86">
        <f>IFERROR((SUM(B13-C13)/C13),0)</f>
        <v/>
      </c>
      <c r="F13" s="238" t="n">
        <v>145657.49</v>
      </c>
      <c r="G13" s="238" t="n">
        <v>156833.12</v>
      </c>
      <c r="H13" s="86">
        <f>IFERROR((SUM(B13-G13)/G13),0)</f>
        <v/>
      </c>
      <c r="I13" s="86">
        <f>IFERROR((SUM(B13-D13)/D13),0)</f>
        <v/>
      </c>
      <c r="J13" s="311" t="n">
        <v>680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3882.25</v>
      </c>
      <c r="U13" s="9" t="n"/>
      <c r="V13" s="449" t="n"/>
      <c r="W13" t="n">
        <v>27788.35</v>
      </c>
      <c r="X13" s="386">
        <f>W13/1.15</f>
        <v/>
      </c>
      <c r="Y13" s="451" t="n"/>
      <c r="Z13" t="n">
        <v>30742.03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139177.57</v>
      </c>
      <c r="C14" s="310" t="n">
        <v>133573.72</v>
      </c>
      <c r="D14" s="310" t="n">
        <v>144600.03</v>
      </c>
      <c r="E14" s="86">
        <f>IFERROR((SUM(B14-C14)/C14),0)</f>
        <v/>
      </c>
      <c r="F14" s="238" t="n">
        <v>114935.27</v>
      </c>
      <c r="G14" s="238" t="n">
        <v>158186.46</v>
      </c>
      <c r="H14" s="86">
        <f>IFERROR((SUM(B14-G14)/G14),0)</f>
        <v/>
      </c>
      <c r="I14" s="86">
        <f>IFERROR((SUM(B14-D14)/D14),0)</f>
        <v/>
      </c>
      <c r="J14" s="311" t="n">
        <v>476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2198.5</v>
      </c>
      <c r="U14" s="26" t="n"/>
      <c r="V14" s="449" t="n"/>
      <c r="W14" t="n">
        <v>39686.43</v>
      </c>
      <c r="X14" s="386">
        <f>W14/1.15</f>
        <v/>
      </c>
      <c r="Y14" s="451" t="n"/>
      <c r="Z14" t="n">
        <v>17352.86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s="310" t="n">
        <v>163346.59</v>
      </c>
      <c r="C15" s="310" t="n">
        <v>149964.4</v>
      </c>
      <c r="D15" s="310" t="n">
        <v>152846.04</v>
      </c>
      <c r="E15" s="86">
        <f>IFERROR((SUM(B15-C15)/C15),0)</f>
        <v/>
      </c>
      <c r="F15" s="238" t="n">
        <v>129841.12</v>
      </c>
      <c r="G15" s="238" t="n">
        <v>130082.87</v>
      </c>
      <c r="H15" s="86">
        <f>IFERROR((SUM(B15-G15)/G15),0)</f>
        <v/>
      </c>
      <c r="I15" s="86">
        <f>IFERROR((SUM(B15-D15)/D15),0)</f>
        <v/>
      </c>
      <c r="J15" s="311" t="n">
        <v>520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2825.95</v>
      </c>
      <c r="U15" s="26" t="n"/>
      <c r="V15" s="449" t="n"/>
      <c r="W15" t="n">
        <v>14324.11</v>
      </c>
      <c r="X15" s="388">
        <f>W15/1.15</f>
        <v/>
      </c>
      <c r="Y15" s="451" t="n"/>
      <c r="Z15" t="n">
        <v>37399.22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 thickBo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8" customHeight="1" thickTop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383" t="inlineStr">
        <is>
          <t>Delivery</t>
        </is>
      </c>
      <c r="X3" s="389" t="n"/>
      <c r="Z3" s="383" t="inlineStr">
        <is>
          <t>Whatsapp /Takeout</t>
        </is>
      </c>
      <c r="AA3" s="389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62" t="n"/>
      <c r="X4" s="384" t="n"/>
      <c r="Z4" s="362" t="n"/>
      <c r="AA4" s="384" t="n"/>
    </row>
    <row r="5" ht="15.6" customHeight="1">
      <c r="A5" s="12" t="inlineStr">
        <is>
          <t>Hartenbos</t>
        </is>
      </c>
      <c r="B5" t="n">
        <v>258961.91</v>
      </c>
      <c r="C5" s="310" t="n">
        <v>289319.99</v>
      </c>
      <c r="D5" s="310" t="n">
        <v>166877.21</v>
      </c>
      <c r="E5" s="86">
        <f>IFERROR((SUM(B5-C5)/C5),0)</f>
        <v/>
      </c>
      <c r="F5" s="238" t="n">
        <v>481394.23</v>
      </c>
      <c r="G5" t="n">
        <v>226735.62</v>
      </c>
      <c r="H5" s="86">
        <f>IFERROR((SUM(B5-G5)/G5),0)</f>
        <v/>
      </c>
      <c r="I5" s="86">
        <f>IFERROR((SUM(B5-D5)/D5),0)</f>
        <v/>
      </c>
      <c r="J5" t="n">
        <v>816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t="n">
        <v>2768.8</v>
      </c>
      <c r="U5" s="9" t="n"/>
      <c r="W5" t="n">
        <v>0</v>
      </c>
      <c r="X5" s="386">
        <f>W5/1.15</f>
        <v/>
      </c>
      <c r="Y5" s="451" t="n"/>
      <c r="Z5" t="n">
        <v>30293.5</v>
      </c>
      <c r="AA5" s="386">
        <f>SUM(Z5)/1.15</f>
        <v/>
      </c>
    </row>
    <row r="6" ht="15.6" customHeight="1">
      <c r="A6" s="445" t="inlineStr">
        <is>
          <t>Eagles Landing</t>
        </is>
      </c>
      <c r="B6" t="n">
        <v>204232.59</v>
      </c>
      <c r="C6" s="310" t="n">
        <v>254321.2</v>
      </c>
      <c r="D6" s="310" t="n">
        <v>317233.92</v>
      </c>
      <c r="E6" s="86">
        <f>IFERROR((SUM(B6-C6)/C6),0)</f>
        <v/>
      </c>
      <c r="F6" s="238" t="n">
        <v>408622.46</v>
      </c>
      <c r="G6" t="n">
        <v>233868.56</v>
      </c>
      <c r="H6" s="86">
        <f>IFERROR((SUM(B6-G6)/G6),0)</f>
        <v/>
      </c>
      <c r="I6" s="86">
        <f>IFERROR((SUM(B6-D6)/D6),0)</f>
        <v/>
      </c>
      <c r="J6" t="n">
        <v>687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t="n">
        <v>8798.139999999999</v>
      </c>
      <c r="U6" s="26" t="n"/>
      <c r="V6" s="449" t="n"/>
      <c r="W6" t="n">
        <v>45468.07</v>
      </c>
      <c r="X6" s="386">
        <f>W6/1.15</f>
        <v/>
      </c>
      <c r="Y6" s="451" t="n"/>
      <c r="Z6" t="n">
        <v>24986.38</v>
      </c>
      <c r="AA6" s="386">
        <f>SUM(Z6)/1.15</f>
        <v/>
      </c>
    </row>
    <row r="7" ht="16.5" customHeight="1">
      <c r="A7" s="445" t="inlineStr">
        <is>
          <t>Irene Village</t>
        </is>
      </c>
      <c r="B7" t="n">
        <v>236925.02</v>
      </c>
      <c r="C7" s="310" t="n">
        <v>215892.02</v>
      </c>
      <c r="D7" s="310" t="n">
        <v>254835.6</v>
      </c>
      <c r="E7" s="86">
        <f>IFERROR((SUM(B7-C7)/C7),0)</f>
        <v/>
      </c>
      <c r="F7" t="n">
        <v>413392.27</v>
      </c>
      <c r="G7" t="n">
        <v>220633.44</v>
      </c>
      <c r="H7" s="86">
        <f>IFERROR((SUM(B7-G7)/G7),0)</f>
        <v/>
      </c>
      <c r="I7" s="86">
        <f>IFERROR((SUM(B7-D7)/D7),0)</f>
        <v/>
      </c>
      <c r="J7" t="n">
        <v>715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t="n">
        <v>5166</v>
      </c>
      <c r="U7" s="26" t="n"/>
      <c r="V7" s="449" t="n"/>
      <c r="W7" t="n">
        <v>5166</v>
      </c>
      <c r="X7" s="386">
        <f>W7/1.15</f>
        <v/>
      </c>
      <c r="Y7" s="451" t="n"/>
      <c r="Z7" t="n">
        <v>1637.72</v>
      </c>
      <c r="AA7" s="386">
        <f>SUM(Z7)/1.15</f>
        <v/>
      </c>
    </row>
    <row r="8" ht="15.6" customHeight="1">
      <c r="A8" s="12" t="inlineStr">
        <is>
          <t>Kyalami Corner</t>
        </is>
      </c>
      <c r="B8" t="n">
        <v>124637.15</v>
      </c>
      <c r="C8" s="310" t="n">
        <v>151281.76</v>
      </c>
      <c r="D8" s="310" t="n">
        <v>125945.97</v>
      </c>
      <c r="E8" s="86">
        <f>IFERROR((SUM(B8-C8)/C8),0)</f>
        <v/>
      </c>
      <c r="F8" t="n">
        <v>246285</v>
      </c>
      <c r="G8" t="n">
        <v>150819.63</v>
      </c>
      <c r="H8" s="86">
        <f>IFERROR((SUM(B8-G8)/G8),0)</f>
        <v/>
      </c>
      <c r="I8" s="86">
        <f>IFERROR((SUM(B8-D8)/D8),0)</f>
        <v/>
      </c>
      <c r="J8" t="n">
        <v>429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5141.5</v>
      </c>
      <c r="U8" s="9" t="n"/>
      <c r="V8" s="449" t="n"/>
      <c r="W8" t="n">
        <v>28926.35</v>
      </c>
      <c r="X8" s="386">
        <f>W8/1.15</f>
        <v/>
      </c>
      <c r="Y8" s="451" t="n"/>
      <c r="Z8" t="n">
        <v>25499.1</v>
      </c>
      <c r="AA8" s="386">
        <f>SUM(Z8)/1.15</f>
        <v/>
      </c>
    </row>
    <row r="9" ht="15.6" customHeight="1">
      <c r="A9" s="12" t="inlineStr">
        <is>
          <t>Lynnwood</t>
        </is>
      </c>
      <c r="B9" t="n">
        <v>198247.33</v>
      </c>
      <c r="C9" s="310" t="n">
        <v>246719.88</v>
      </c>
      <c r="D9" s="310" t="n">
        <v>243010.12</v>
      </c>
      <c r="E9" s="86">
        <f>IFERROR((SUM(B9-C9)/C9),0)</f>
        <v/>
      </c>
      <c r="F9" t="n">
        <v>398833.04</v>
      </c>
      <c r="G9" t="n">
        <v>212862.25</v>
      </c>
      <c r="H9" s="86">
        <f>IFERROR((SUM(B9-G9)/G9),0)</f>
        <v/>
      </c>
      <c r="I9" s="86">
        <f>IFERROR((SUM(B9-D9)/D9),0)</f>
        <v/>
      </c>
      <c r="J9" t="n">
        <v>668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t="n">
        <v>4292</v>
      </c>
      <c r="U9" s="26" t="n"/>
      <c r="V9" s="449" t="n"/>
      <c r="W9" t="n">
        <v>31038.46</v>
      </c>
      <c r="X9" s="386">
        <f>W9/1.15</f>
        <v/>
      </c>
      <c r="Y9" s="451" t="n"/>
      <c r="Z9" t="n">
        <v>28737.67</v>
      </c>
      <c r="AA9" s="386">
        <f>SUM(Z9)/1.15</f>
        <v/>
      </c>
    </row>
    <row r="10" ht="15.6" customHeight="1">
      <c r="A10" s="445" t="inlineStr">
        <is>
          <t>Melrose Arch</t>
        </is>
      </c>
      <c r="C10" s="310" t="n">
        <v>0</v>
      </c>
      <c r="D10" s="310" t="n">
        <v>191397.82</v>
      </c>
      <c r="E10" s="86">
        <f>IFERROR((SUM(B11-C10)/C10),0)</f>
        <v/>
      </c>
      <c r="F10" s="238" t="n"/>
      <c r="G10" t="n">
        <v>229538.83</v>
      </c>
      <c r="H10" s="86">
        <f>IFERROR((SUM(B11-G10)/G10),0)</f>
        <v/>
      </c>
      <c r="I10" s="86">
        <f>IFERROR((SUM(B11-D10)/D10),0)</f>
        <v/>
      </c>
      <c r="J10" s="311" t="n"/>
      <c r="K10" s="63">
        <f>IFERROR(B11/J10,0)</f>
        <v/>
      </c>
      <c r="L10" s="61" t="n">
        <v>1</v>
      </c>
      <c r="M10" s="28">
        <f>IFERROR(L10/J10,0)</f>
        <v/>
      </c>
      <c r="N10" s="46" t="n">
        <v>15</v>
      </c>
      <c r="O10" s="89">
        <f>IFERROR(N10/SUM(J10),0)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V10" s="449" t="n"/>
      <c r="W10" s="362" t="n"/>
      <c r="X10" s="386">
        <f>W10/1.15</f>
        <v/>
      </c>
      <c r="Y10" s="451" t="n"/>
      <c r="AA10" s="386">
        <f>SUM(Z10)/1.15</f>
        <v/>
      </c>
    </row>
    <row r="11" ht="15.6" customHeight="1">
      <c r="A11" s="445" t="inlineStr">
        <is>
          <t>Melville</t>
        </is>
      </c>
      <c r="B11" t="n">
        <v>139087.29</v>
      </c>
      <c r="C11" s="310" t="n">
        <v>156534.45</v>
      </c>
      <c r="D11" s="310" t="n">
        <v>86713.33</v>
      </c>
      <c r="E11" s="86">
        <f>IFERROR((SUM(#REF!-C11)/C11),0)</f>
        <v/>
      </c>
      <c r="F11" t="n">
        <v>255872.73</v>
      </c>
      <c r="G11" t="n">
        <v>143637.97</v>
      </c>
      <c r="H11" s="86">
        <f>IFERROR((SUM(#REF!-G11)/G11),0)</f>
        <v/>
      </c>
      <c r="I11" s="86">
        <f>IFERROR((SUM(#REF!-D11)/D11),0)</f>
        <v/>
      </c>
      <c r="J11" t="n">
        <v>484</v>
      </c>
      <c r="K11" s="63">
        <f>IFERROR(#REF!/J11,0)</f>
        <v/>
      </c>
      <c r="L11" s="61" t="n">
        <v>3</v>
      </c>
      <c r="M11" s="28">
        <f>IFERROR(L11/J11,0)</f>
        <v/>
      </c>
      <c r="N11" s="46" t="n">
        <v>22</v>
      </c>
      <c r="O11" s="89">
        <f>IFERROR(N11/SUM(J11),0)</f>
        <v/>
      </c>
      <c r="P11" s="260">
        <f>SUM(X11+AA11)</f>
        <v/>
      </c>
      <c r="Q11" s="89">
        <f>SUM(P11/#REF!)</f>
        <v/>
      </c>
      <c r="R11" s="260">
        <f>SUM(AA11)</f>
        <v/>
      </c>
      <c r="S11" s="89">
        <f>SUM(R11/#REF!)</f>
        <v/>
      </c>
      <c r="T11" t="n">
        <v>1613.55</v>
      </c>
      <c r="U11" s="26" t="n"/>
      <c r="V11" s="449" t="n"/>
      <c r="W11" t="n">
        <v>45079.89</v>
      </c>
      <c r="X11" s="386">
        <f>W11/1.15</f>
        <v/>
      </c>
      <c r="Y11" s="451" t="n"/>
      <c r="Z11" t="n">
        <v>28930.76</v>
      </c>
      <c r="AA11" s="386">
        <f>SUM(Z11)/1.15</f>
        <v/>
      </c>
    </row>
    <row r="12" ht="15.6" customHeight="1">
      <c r="A12" s="12" t="inlineStr">
        <is>
          <t>Cambridge Crossing</t>
        </is>
      </c>
      <c r="B12" t="n">
        <v>212428.92</v>
      </c>
      <c r="C12" s="310" t="n">
        <v>199494.54</v>
      </c>
      <c r="D12" s="310" t="n">
        <v>206751.49</v>
      </c>
      <c r="E12" s="86">
        <f>IFERROR((SUM(B12-C12)/C12),0)</f>
        <v/>
      </c>
      <c r="F12" t="n">
        <v>379021.58</v>
      </c>
      <c r="G12" t="n">
        <v>190573.92</v>
      </c>
      <c r="H12" s="86">
        <f>IFERROR((SUM(B12-G12)/G12),0)</f>
        <v/>
      </c>
      <c r="I12" s="86">
        <f>IFERROR((SUM(B12-D12)/D12),0)</f>
        <v/>
      </c>
      <c r="J12" s="311" t="n">
        <v>687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t="n">
        <v>6155</v>
      </c>
      <c r="U12" s="9" t="n"/>
      <c r="V12" s="449" t="n"/>
      <c r="W12" t="n">
        <v>32734</v>
      </c>
      <c r="X12" s="386">
        <f>W12/1.15</f>
        <v/>
      </c>
      <c r="Y12" s="451" t="n"/>
      <c r="Z12" t="n">
        <v>29528.43</v>
      </c>
      <c r="AA12" s="386">
        <f>SUM(Z12)/1.15</f>
        <v/>
      </c>
    </row>
    <row r="13" ht="15.6" customHeight="1">
      <c r="A13" s="12" t="inlineStr">
        <is>
          <t>Queenswood</t>
        </is>
      </c>
      <c r="B13" t="n">
        <v>167341.58</v>
      </c>
      <c r="C13" s="310" t="n">
        <v>186765.79</v>
      </c>
      <c r="D13" s="310" t="n"/>
      <c r="E13" s="86">
        <f>IFERROR((SUM(B13-C13)/C13),0)</f>
        <v/>
      </c>
      <c r="F13" t="n">
        <v>312999.07</v>
      </c>
      <c r="G13" t="n">
        <v>139274.86</v>
      </c>
      <c r="H13" s="86">
        <f>IFERROR((SUM(B13-G13)/G13),0)</f>
        <v/>
      </c>
      <c r="I13" s="86">
        <f>IFERROR((SUM(B13-D13)/D13),0)</f>
        <v/>
      </c>
      <c r="J13" t="n">
        <v>596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t="n">
        <v>3153.53</v>
      </c>
      <c r="U13" s="9" t="n"/>
      <c r="V13" s="449" t="n"/>
      <c r="W13" t="n">
        <v>28402.98</v>
      </c>
      <c r="X13" s="386">
        <f>W13/1.15</f>
        <v/>
      </c>
      <c r="Y13" s="451" t="n"/>
      <c r="Z13" t="n">
        <v>26957.26</v>
      </c>
      <c r="AA13" s="386">
        <f>SUM(Z13)/1.15</f>
        <v/>
      </c>
    </row>
    <row r="14" ht="15.6" customHeight="1">
      <c r="A14" s="445" t="inlineStr">
        <is>
          <t xml:space="preserve">Waterkloof </t>
        </is>
      </c>
      <c r="B14" t="n">
        <v>146090.99</v>
      </c>
      <c r="C14" s="310" t="n">
        <v>139177.57</v>
      </c>
      <c r="D14" s="310" t="n">
        <v>144600.03</v>
      </c>
      <c r="E14" s="86">
        <f>IFERROR((SUM(B14-C14)/C14),0)</f>
        <v/>
      </c>
      <c r="F14" t="n">
        <v>261026.26</v>
      </c>
      <c r="G14" t="n">
        <v>152386.4</v>
      </c>
      <c r="H14" s="86">
        <f>IFERROR((SUM(B14-G14)/G14),0)</f>
        <v/>
      </c>
      <c r="I14" s="86">
        <f>IFERROR((SUM(B14-D14)/D14),0)</f>
        <v/>
      </c>
      <c r="J14" t="n">
        <v>487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t="n">
        <v>4220.9</v>
      </c>
      <c r="U14" s="26" t="n"/>
      <c r="V14" s="449" t="n"/>
      <c r="W14" t="n">
        <v>40962.6</v>
      </c>
      <c r="X14" s="386">
        <f>W14/1.15</f>
        <v/>
      </c>
      <c r="Y14" s="451" t="n"/>
      <c r="Z14" t="n">
        <v>22179.7</v>
      </c>
      <c r="AA14" s="386">
        <f>SUM(Z14)/1.15</f>
        <v/>
      </c>
    </row>
    <row r="15" ht="16.2" customHeight="1" thickBot="1">
      <c r="A15" s="12" t="inlineStr">
        <is>
          <t>Stellenbosch</t>
        </is>
      </c>
      <c r="B15" t="n">
        <v>147064.92</v>
      </c>
      <c r="C15" s="310" t="n">
        <v>163346.59</v>
      </c>
      <c r="D15" s="310" t="n">
        <v>152846.04</v>
      </c>
      <c r="E15" s="86">
        <f>IFERROR((SUM(B15-C15)/C15),0)</f>
        <v/>
      </c>
      <c r="F15" t="n">
        <v>276906.04</v>
      </c>
      <c r="G15" t="n">
        <v>130047.86</v>
      </c>
      <c r="H15" s="86">
        <f>IFERROR((SUM(B15-G15)/G15),0)</f>
        <v/>
      </c>
      <c r="I15" s="86">
        <f>IFERROR((SUM(B15-D15)/D15),0)</f>
        <v/>
      </c>
      <c r="J15" t="n">
        <v>490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t="n">
        <v>3501.9</v>
      </c>
      <c r="U15" s="26" t="n"/>
      <c r="V15" s="449" t="n"/>
      <c r="W15" t="n">
        <v>14247.79</v>
      </c>
      <c r="X15" s="388">
        <f>W15/1.15</f>
        <v/>
      </c>
      <c r="Y15" s="451" t="n"/>
      <c r="Z15" t="n">
        <v>26153.78</v>
      </c>
      <c r="AA15" s="388">
        <f>SUM(Z15)/1.15</f>
        <v/>
      </c>
    </row>
    <row r="16" ht="15" customHeight="1" thickTop="1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340614.61</v>
      </c>
      <c r="C5" s="310" t="n">
        <v>258961.91</v>
      </c>
      <c r="D5" s="310" t="n">
        <v>166877.21</v>
      </c>
      <c r="E5" s="86">
        <f>IFERROR((SUM(B5-C5)/C5),0)</f>
        <v/>
      </c>
      <c r="F5" s="311" t="n">
        <v>822008.84</v>
      </c>
      <c r="G5" s="311" t="n">
        <v>326106.42</v>
      </c>
      <c r="H5" s="86">
        <f>IFERROR((SUM(B5-G5)/G5),0)</f>
        <v/>
      </c>
      <c r="I5" s="86">
        <f>IFERROR((SUM(B5-D5)/D5),0)</f>
        <v/>
      </c>
      <c r="J5" s="311" t="n">
        <v>978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2326.05</v>
      </c>
      <c r="U5" s="9" t="n"/>
      <c r="W5" s="311" t="n">
        <v>0</v>
      </c>
      <c r="X5" s="297">
        <f>W5/1.15</f>
        <v/>
      </c>
      <c r="Z5" s="311" t="n">
        <v>35257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202176.17</v>
      </c>
      <c r="C6" s="310" t="n">
        <v>204232.59</v>
      </c>
      <c r="D6" s="310" t="n">
        <v>317233.92</v>
      </c>
      <c r="E6" s="86">
        <f>IFERROR((SUM(B6-C6)/C6),0)</f>
        <v/>
      </c>
      <c r="F6" s="311" t="n">
        <v>610798.63</v>
      </c>
      <c r="G6" s="311" t="n">
        <v>193342.85</v>
      </c>
      <c r="H6" s="86">
        <f>IFERROR((SUM(B6-G6)/G6),0)</f>
        <v/>
      </c>
      <c r="I6" s="86">
        <f>IFERROR((SUM(B6-D6)/D6),0)</f>
        <v/>
      </c>
      <c r="J6" s="311" t="n">
        <v>648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6366.9</v>
      </c>
      <c r="U6" s="26" t="n"/>
      <c r="W6" s="311" t="n">
        <v>45604.68</v>
      </c>
      <c r="X6" s="297">
        <f>W6/1.15</f>
        <v/>
      </c>
      <c r="Z6" s="311" t="n">
        <v>24190.25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199957.65</v>
      </c>
      <c r="C7" s="310" t="n">
        <v>236925.02</v>
      </c>
      <c r="D7" s="310" t="n">
        <v>254835.6</v>
      </c>
      <c r="E7" s="86">
        <f>IFERROR((SUM(B7-C7)/C7),0)</f>
        <v/>
      </c>
      <c r="F7" s="311" t="n">
        <v>613349.92</v>
      </c>
      <c r="G7" s="311" t="n">
        <v>232505.15</v>
      </c>
      <c r="H7" s="86">
        <f>IFERROR((SUM(B7-G7)/G7),0)</f>
        <v/>
      </c>
      <c r="I7" s="86">
        <f>IFERROR((SUM(B7-D7)/D7),0)</f>
        <v/>
      </c>
      <c r="J7" s="311" t="n">
        <v>617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5167.85</v>
      </c>
      <c r="U7" s="26" t="n"/>
      <c r="W7" s="311" t="n">
        <v>44019.93</v>
      </c>
      <c r="X7" s="297">
        <f>W7/1.15</f>
        <v/>
      </c>
      <c r="Z7" s="311" t="n">
        <v>621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124761.94</v>
      </c>
      <c r="C8" s="310" t="n">
        <v>124637.15</v>
      </c>
      <c r="D8" s="310" t="n">
        <v>125945.97</v>
      </c>
      <c r="E8" s="86">
        <f>IFERROR((SUM(B8-C8)/C8),0)</f>
        <v/>
      </c>
      <c r="F8" s="311" t="n">
        <v>371046.94</v>
      </c>
      <c r="G8" s="311" t="n">
        <v>115253.69</v>
      </c>
      <c r="H8" s="86">
        <f>IFERROR((SUM(B8-G8)/G8),0)</f>
        <v/>
      </c>
      <c r="I8" s="86">
        <f>IFERROR((SUM(B8-D8)/D8),0)</f>
        <v/>
      </c>
      <c r="J8" s="311" t="n">
        <v>416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6349</v>
      </c>
      <c r="U8" s="9" t="n"/>
      <c r="W8" s="311" t="n">
        <v>28384.17</v>
      </c>
      <c r="X8" s="297">
        <f>W8/1.15</f>
        <v/>
      </c>
      <c r="Z8" s="311" t="n">
        <v>26711.77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207492.95</v>
      </c>
      <c r="C9" s="310" t="n">
        <v>198247.33</v>
      </c>
      <c r="D9" s="310" t="n">
        <v>243010.12</v>
      </c>
      <c r="E9" s="86">
        <f>IFERROR((SUM(B9-C9)/C9),0)</f>
        <v/>
      </c>
      <c r="F9" s="311" t="n">
        <v>606325.99</v>
      </c>
      <c r="G9" s="311" t="n">
        <v>185508.77</v>
      </c>
      <c r="H9" s="86">
        <f>IFERROR((SUM(B9-G9)/G9),0)</f>
        <v/>
      </c>
      <c r="I9" s="86">
        <f>IFERROR((SUM(B9-D9)/D9),0)</f>
        <v/>
      </c>
      <c r="J9" s="311" t="n">
        <v>689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3817.25</v>
      </c>
      <c r="U9" s="26" t="n"/>
      <c r="W9" s="311" t="n">
        <v>34896.93</v>
      </c>
      <c r="X9" s="297">
        <f>W9/1.15</f>
        <v/>
      </c>
      <c r="Z9" s="311" t="n">
        <v>39355.08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1" t="n"/>
      <c r="H10" s="86">
        <f>IFERROR((SUM(B11-G10)/G10),0)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1" t="n"/>
      <c r="X10" s="297">
        <f>W10/1.15</f>
        <v/>
      </c>
      <c r="Z10" s="311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154427.39</v>
      </c>
      <c r="C11" s="310" t="n">
        <v>139087.29</v>
      </c>
      <c r="D11" s="310" t="n">
        <v>86713.33</v>
      </c>
      <c r="E11" s="86">
        <f>IFERROR((SUM(B11-C11)/C11),0)</f>
        <v/>
      </c>
      <c r="F11" s="311" t="n">
        <v>410300.12</v>
      </c>
      <c r="G11" s="311" t="n">
        <v>126176.68</v>
      </c>
      <c r="H11" s="86">
        <f>IFERROR((SUM(#REF!-G11)/G11),0)</f>
        <v/>
      </c>
      <c r="I11" s="86">
        <f>IFERROR((SUM(#REF!-D11)/D11),0)</f>
        <v/>
      </c>
      <c r="J11" s="311" t="n">
        <v>502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3194.1</v>
      </c>
      <c r="U11" s="26" t="n"/>
      <c r="W11" s="311" t="n">
        <v>43169.3</v>
      </c>
      <c r="X11" s="297">
        <f>W11/1.15</f>
        <v/>
      </c>
      <c r="Z11" s="311" t="n">
        <v>17342.64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186789.8</v>
      </c>
      <c r="C12" s="310" t="n">
        <v>212428.92</v>
      </c>
      <c r="D12" s="310" t="n">
        <v>206751.49</v>
      </c>
      <c r="E12" s="86">
        <f>IFERROR((SUM(B12-C12)/C12),0)</f>
        <v/>
      </c>
      <c r="F12" s="311" t="n">
        <v>565811.38</v>
      </c>
      <c r="G12" s="311" t="n">
        <v>172469.75</v>
      </c>
      <c r="H12" s="86">
        <f>IFERROR((SUM(B12-G12)/G12),0)</f>
        <v/>
      </c>
      <c r="I12" s="86">
        <f>IFERROR((SUM(B12-D12)/D12),0)</f>
        <v/>
      </c>
      <c r="J12" s="311" t="n">
        <v>679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5027</v>
      </c>
      <c r="U12" s="9" t="n"/>
      <c r="W12" s="311" t="n">
        <v>33702.93</v>
      </c>
      <c r="X12" s="297">
        <f>W12/1.15</f>
        <v/>
      </c>
      <c r="Z12" s="311" t="n">
        <v>35470.48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171118.86</v>
      </c>
      <c r="C13" s="310" t="n">
        <v>167341.58</v>
      </c>
      <c r="D13" s="310" t="n"/>
      <c r="E13" s="86">
        <f>IFERROR((SUM(B13-C13)/C13),0)</f>
        <v/>
      </c>
      <c r="F13" s="311" t="n">
        <v>484117.93</v>
      </c>
      <c r="G13" s="311" t="n">
        <v>160351.55</v>
      </c>
      <c r="H13" s="86">
        <f>IFERROR((SUM(B13-G13)/G13),0)</f>
        <v/>
      </c>
      <c r="I13" s="86">
        <f>IFERROR((SUM(B13-D13)/D13),0)</f>
        <v/>
      </c>
      <c r="J13" s="311" t="n">
        <v>600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3431.75</v>
      </c>
      <c r="U13" s="9" t="n"/>
      <c r="W13" s="311" t="n">
        <v>24455.08</v>
      </c>
      <c r="X13" s="297">
        <f>W13/1.15</f>
        <v/>
      </c>
      <c r="Z13" s="311" t="n">
        <v>30318.98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125512.51</v>
      </c>
      <c r="C14" s="310" t="n">
        <v>146090.99</v>
      </c>
      <c r="D14" s="310" t="n">
        <v>144600.03</v>
      </c>
      <c r="E14" s="86">
        <f>IFERROR((SUM(B14-C14)/C14),0)</f>
        <v/>
      </c>
      <c r="F14" s="311" t="n">
        <v>386538.77</v>
      </c>
      <c r="G14" s="311" t="n">
        <v>138082.21</v>
      </c>
      <c r="H14" s="86">
        <f>IFERROR((SUM(B14-G14)/G14),0)</f>
        <v/>
      </c>
      <c r="I14" s="86">
        <f>IFERROR((SUM(B14-D14)/D14),0)</f>
        <v/>
      </c>
      <c r="J14" s="311" t="n">
        <v>420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1774.8</v>
      </c>
      <c r="U14" s="26" t="n"/>
      <c r="W14" s="311" t="n">
        <v>23242.33</v>
      </c>
      <c r="X14" s="297">
        <f>W14/1.15</f>
        <v/>
      </c>
      <c r="Z14" s="311" t="n">
        <v>32869.24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142396.83</v>
      </c>
      <c r="C15" s="310" t="n">
        <v>147064.92</v>
      </c>
      <c r="D15" s="310" t="n">
        <v>152846.04</v>
      </c>
      <c r="E15" s="86">
        <f>IFERROR((SUM(B15-C15)/C15),0)</f>
        <v/>
      </c>
      <c r="F15" s="311" t="n">
        <v>419302.87</v>
      </c>
      <c r="G15" s="311" t="n">
        <v>118093.22</v>
      </c>
      <c r="H15" s="86">
        <f>IFERROR((SUM(B15-G15)/G15),0)</f>
        <v/>
      </c>
      <c r="I15" s="86">
        <f>IFERROR((SUM(B15-D15)/D15),0)</f>
        <v/>
      </c>
      <c r="J15" s="311" t="n">
        <v>487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4106.1</v>
      </c>
      <c r="U15" s="26" t="n"/>
      <c r="W15" s="311" t="n">
        <v>22249.75</v>
      </c>
      <c r="X15" s="297">
        <f>W15/1.15</f>
        <v/>
      </c>
      <c r="Z15" s="311" t="n">
        <v>13030.25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H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3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35" t="inlineStr">
        <is>
          <t>Non-Banking</t>
        </is>
      </c>
      <c r="U3" s="407" t="n"/>
      <c r="W3" s="298" t="inlineStr">
        <is>
          <t>Delivery</t>
        </is>
      </c>
      <c r="X3" s="312" t="n"/>
      <c r="Z3" s="298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98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361253.2</v>
      </c>
      <c r="C5" s="344" t="n">
        <v>340614.61</v>
      </c>
      <c r="D5" s="310" t="n">
        <v>166877.21</v>
      </c>
      <c r="E5" s="86">
        <f>IFERROR((SUM(B5-C5)/C5),0)</f>
        <v/>
      </c>
      <c r="F5" s="310" t="n">
        <v>1183262.04</v>
      </c>
      <c r="G5" s="310" t="n">
        <v>470107.21</v>
      </c>
      <c r="H5" s="452">
        <f>IFERROR((SUM(B5-G5)/G5),0)</f>
        <v/>
      </c>
      <c r="I5" s="86">
        <f>IFERROR((SUM(B5-D5)/D5),0)</f>
        <v/>
      </c>
      <c r="J5" s="311" t="n">
        <v>1051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3361.3</v>
      </c>
      <c r="U5" s="9" t="n"/>
      <c r="W5" s="310" t="n">
        <v>0</v>
      </c>
      <c r="X5" s="297">
        <f>W5/1.15</f>
        <v/>
      </c>
      <c r="Z5" s="310" t="n">
        <v>43346.7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245800.43</v>
      </c>
      <c r="C6" s="344" t="n">
        <v>202176.17</v>
      </c>
      <c r="D6" s="310" t="n">
        <v>317233.92</v>
      </c>
      <c r="E6" s="86">
        <f>IFERROR((SUM(B6-C6)/C6),0)</f>
        <v/>
      </c>
      <c r="F6" s="310" t="n">
        <v>856599.0600000001</v>
      </c>
      <c r="G6" s="310" t="n">
        <v>226906.27</v>
      </c>
      <c r="H6" s="452">
        <f>IFERROR((SUM(B6-G6)/G6),0)</f>
        <v/>
      </c>
      <c r="I6" s="86">
        <f>IFERROR((SUM(B6-D6)/D6),0)</f>
        <v/>
      </c>
      <c r="J6" s="311" t="n">
        <v>695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8578.15</v>
      </c>
      <c r="U6" s="26" t="n"/>
      <c r="W6" s="310" t="n">
        <v>47716.81</v>
      </c>
      <c r="X6" s="297">
        <f>W6/1.15</f>
        <v/>
      </c>
      <c r="Z6" s="310" t="n">
        <v>23195.35</v>
      </c>
      <c r="AA6" s="297">
        <f>SUM(Z6)/1.15</f>
        <v/>
      </c>
    </row>
    <row r="7" ht="16.5" customHeight="1">
      <c r="A7" s="445" t="inlineStr">
        <is>
          <t>Irene Village</t>
        </is>
      </c>
      <c r="B7" s="310" t="n">
        <v>284143.42</v>
      </c>
      <c r="C7" s="344" t="n">
        <v>199957.65</v>
      </c>
      <c r="D7" s="310" t="n">
        <v>254835.6</v>
      </c>
      <c r="E7" s="86">
        <f>IFERROR((SUM(B7-C7)/C7),0)</f>
        <v/>
      </c>
      <c r="F7" s="310" t="n">
        <v>897493.34</v>
      </c>
      <c r="G7" s="310" t="n">
        <v>254872.54</v>
      </c>
      <c r="H7" s="452">
        <f>IFERROR((SUM(B7-G7)/G7),0)</f>
        <v/>
      </c>
      <c r="I7" s="86">
        <f>IFERROR((SUM(B7-D7)/D7),0)</f>
        <v/>
      </c>
      <c r="J7" s="311" t="n">
        <v>793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17024.7</v>
      </c>
      <c r="U7" s="26" t="n"/>
      <c r="W7" s="310" t="n">
        <v>63941.6</v>
      </c>
      <c r="X7" s="297">
        <f>W7/1.15</f>
        <v/>
      </c>
      <c r="Z7" s="310" t="n">
        <v>4422.5</v>
      </c>
      <c r="AA7" s="297">
        <f>SUM(Z7)/1.15</f>
        <v/>
      </c>
    </row>
    <row r="8" ht="15.6" customHeight="1">
      <c r="A8" s="12" t="inlineStr">
        <is>
          <t>Kyalami Corner</t>
        </is>
      </c>
      <c r="B8" s="310" t="n">
        <v>147747.95</v>
      </c>
      <c r="C8" s="344" t="n">
        <v>124761.94</v>
      </c>
      <c r="D8" s="310" t="n">
        <v>125945.97</v>
      </c>
      <c r="E8" s="86">
        <f>IFERROR((SUM(B8-C8)/C8),0)</f>
        <v/>
      </c>
      <c r="F8" s="310" t="n">
        <v>492357.18</v>
      </c>
      <c r="G8" s="310" t="n">
        <v>135960.23</v>
      </c>
      <c r="H8" s="452">
        <f>IFERROR((SUM(B8-G8)/G8),0)</f>
        <v/>
      </c>
      <c r="I8" s="86">
        <f>IFERROR((SUM(B8-D8)/D8),0)</f>
        <v/>
      </c>
      <c r="J8" s="311" t="n">
        <v>412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4921.1</v>
      </c>
      <c r="U8" s="9" t="n"/>
      <c r="W8" s="310" t="n">
        <v>24916.5</v>
      </c>
      <c r="X8" s="297">
        <f>W8/1.15</f>
        <v/>
      </c>
      <c r="Z8" s="310" t="n">
        <v>28233.19</v>
      </c>
      <c r="AA8" s="297">
        <f>SUM(Z8)/1.15</f>
        <v/>
      </c>
    </row>
    <row r="9" ht="15.6" customHeight="1">
      <c r="A9" s="12" t="inlineStr">
        <is>
          <t>Lynnwood</t>
        </is>
      </c>
      <c r="B9" s="310" t="n">
        <v>210366.12</v>
      </c>
      <c r="C9" s="344" t="n">
        <v>207492.95</v>
      </c>
      <c r="D9" s="310" t="n">
        <v>243010.12</v>
      </c>
      <c r="E9" s="86">
        <f>IFERROR((SUM(B9-C9)/C9),0)</f>
        <v/>
      </c>
      <c r="F9" s="310" t="n">
        <v>816692.11</v>
      </c>
      <c r="G9" s="310" t="n">
        <v>229667.33</v>
      </c>
      <c r="H9" s="452">
        <f>IFERROR((SUM(B9-G9)/G9),0)</f>
        <v/>
      </c>
      <c r="I9" s="86">
        <f>IFERROR((SUM(B9-D9)/D9),0)</f>
        <v/>
      </c>
      <c r="J9" s="311" t="n">
        <v>729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4156.35</v>
      </c>
      <c r="U9" s="26" t="n"/>
      <c r="W9" s="310" t="n">
        <v>43112.95</v>
      </c>
      <c r="X9" s="297">
        <f>W9/1.15</f>
        <v/>
      </c>
      <c r="Z9" s="310" t="n">
        <v>29656.67</v>
      </c>
      <c r="AA9" s="297">
        <f>SUM(Z9)/1.15</f>
        <v/>
      </c>
    </row>
    <row r="10" ht="15.6" customHeight="1">
      <c r="A10" s="445" t="inlineStr">
        <is>
          <t>Melrose Arch</t>
        </is>
      </c>
      <c r="B10" s="310" t="n"/>
      <c r="C10" s="344" t="n"/>
      <c r="D10" s="310" t="n">
        <v>191397.82</v>
      </c>
      <c r="E10" s="86">
        <f>IFERROR((SUM(B10-C10)/C10),0)</f>
        <v/>
      </c>
      <c r="F10" s="310" t="n">
        <v>558040.73</v>
      </c>
      <c r="G10" s="310" t="n">
        <v>261094.56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1" t="n"/>
      <c r="U10" s="26" t="n"/>
      <c r="W10" s="310" t="n"/>
      <c r="X10" s="297">
        <f>W10/1.15</f>
        <v/>
      </c>
      <c r="Z10" s="310" t="n"/>
      <c r="AA10" s="297">
        <f>SUM(Z10)/1.15</f>
        <v/>
      </c>
    </row>
    <row r="11" ht="15.6" customHeight="1">
      <c r="A11" s="445" t="inlineStr">
        <is>
          <t>Melville</t>
        </is>
      </c>
      <c r="B11" s="310" t="n">
        <v>147740.61</v>
      </c>
      <c r="C11" s="238" t="n">
        <v>139087.29</v>
      </c>
      <c r="D11" s="310" t="n">
        <v>86713.33</v>
      </c>
      <c r="E11" s="86">
        <f>IFERROR((SUM(B11-C11)/C11),0)</f>
        <v/>
      </c>
      <c r="F11" s="310" t="n">
        <v>760063.38</v>
      </c>
      <c r="G11" s="310" t="n">
        <v>127181.59</v>
      </c>
      <c r="H11" s="452">
        <f>IFERROR((SUM(B11-G11)/G11),0)</f>
        <v/>
      </c>
      <c r="I11" s="86">
        <f>IFERROR((SUM(#REF!-D11)/D11),0)</f>
        <v/>
      </c>
      <c r="J11" s="311" t="n">
        <v>492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4880.38</v>
      </c>
      <c r="U11" s="26" t="n"/>
      <c r="W11" s="310" t="n">
        <v>46930.9</v>
      </c>
      <c r="X11" s="297">
        <f>W11/1.15</f>
        <v/>
      </c>
      <c r="Z11" s="310" t="n">
        <v>22051.55</v>
      </c>
      <c r="AA11" s="297">
        <f>SUM(Z11)/1.15</f>
        <v/>
      </c>
    </row>
    <row r="12" ht="15.6" customHeight="1">
      <c r="A12" s="12" t="inlineStr">
        <is>
          <t>Cambridge Crossing</t>
        </is>
      </c>
      <c r="B12" s="310" t="n">
        <v>194252</v>
      </c>
      <c r="C12" s="344" t="n">
        <v>186789.8</v>
      </c>
      <c r="D12" s="310" t="n">
        <v>206751.49</v>
      </c>
      <c r="E12" s="86">
        <f>IFERROR((SUM(B12-C12)/C12),0)</f>
        <v/>
      </c>
      <c r="F12" s="310" t="n">
        <v>760063.38</v>
      </c>
      <c r="G12" s="310" t="n">
        <v>192610.37</v>
      </c>
      <c r="H12" s="452">
        <f>IFERROR((SUM(B12-G12)/G12),0)</f>
        <v/>
      </c>
      <c r="I12" s="86">
        <f>IFERROR((SUM(B12-D12)/D12),0)</f>
        <v/>
      </c>
      <c r="J12" s="311" t="n">
        <v>717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3321</v>
      </c>
      <c r="U12" s="9" t="n"/>
      <c r="W12" s="310" t="n">
        <v>40739.1</v>
      </c>
      <c r="X12" s="297">
        <f>W12/1.15</f>
        <v/>
      </c>
      <c r="Z12" s="310" t="n">
        <v>43225.62</v>
      </c>
      <c r="AA12" s="297">
        <f>SUM(Z12)/1.15</f>
        <v/>
      </c>
    </row>
    <row r="13" ht="15.6" customHeight="1">
      <c r="A13" s="12" t="inlineStr">
        <is>
          <t>Queenswood</t>
        </is>
      </c>
      <c r="B13" s="310" t="n">
        <v>174871.18</v>
      </c>
      <c r="C13" s="344" t="n">
        <v>171118.86</v>
      </c>
      <c r="D13" s="310" t="n"/>
      <c r="E13" s="86">
        <f>IFERROR((SUM(B13-C13)/C13),0)</f>
        <v/>
      </c>
      <c r="F13" s="310" t="n">
        <v>658989.11</v>
      </c>
      <c r="G13" s="310" t="n">
        <v>165936.81</v>
      </c>
      <c r="H13" s="452">
        <f>IFERROR((SUM(B13-G13)/G13),0)</f>
        <v/>
      </c>
      <c r="I13" s="86">
        <f>IFERROR((SUM(B13-D13)/D13),0)</f>
        <v/>
      </c>
      <c r="J13" s="311" t="n">
        <v>536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3285.5</v>
      </c>
      <c r="U13" s="9" t="n"/>
      <c r="W13" s="310" t="n">
        <v>19156.55</v>
      </c>
      <c r="X13" s="297">
        <f>W13/1.15</f>
        <v/>
      </c>
      <c r="Z13" s="310" t="n">
        <v>22875.68</v>
      </c>
      <c r="AA13" s="297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161782.76</v>
      </c>
      <c r="C14" s="344" t="n">
        <v>125512.51</v>
      </c>
      <c r="D14" s="310" t="n">
        <v>144600.03</v>
      </c>
      <c r="E14" s="86">
        <f>IFERROR((SUM(B14-C14)/C14),0)</f>
        <v/>
      </c>
      <c r="F14" s="310" t="n">
        <v>548321.53</v>
      </c>
      <c r="G14" s="310" t="n">
        <v>148861.7</v>
      </c>
      <c r="H14" s="452">
        <f>IFERROR((SUM(B14-G14)/G14),0)</f>
        <v/>
      </c>
      <c r="I14" s="86">
        <f>IFERROR((SUM(B14-D14)/D14),0)</f>
        <v/>
      </c>
      <c r="J14" s="311" t="n">
        <v>448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3238.6</v>
      </c>
      <c r="U14" s="26" t="n"/>
      <c r="W14" s="310" t="n">
        <v>38653.1</v>
      </c>
      <c r="X14" s="297">
        <f>W14/1.15</f>
        <v/>
      </c>
      <c r="Z14" s="310" t="n">
        <v>21564.2</v>
      </c>
      <c r="AA14" s="297">
        <f>SUM(Z14)/1.15</f>
        <v/>
      </c>
    </row>
    <row r="15" ht="15.6" customHeight="1">
      <c r="A15" s="12" t="inlineStr">
        <is>
          <t>Stellenbosch</t>
        </is>
      </c>
      <c r="B15" s="310" t="n">
        <v>119939.62</v>
      </c>
      <c r="C15" s="344" t="n">
        <v>142396.83</v>
      </c>
      <c r="D15" s="310" t="n">
        <v>152846.04</v>
      </c>
      <c r="E15" s="86">
        <f>IFERROR((SUM(B15-C15)/C15),0)</f>
        <v/>
      </c>
      <c r="F15" s="310" t="n">
        <v>539242.49</v>
      </c>
      <c r="G15" s="310" t="n">
        <v>138286.32</v>
      </c>
      <c r="H15" s="452">
        <f>IFERROR((SUM(B15-G15)/G15),0)</f>
        <v/>
      </c>
      <c r="I15" s="86">
        <f>IFERROR((SUM(B15-D15)/D15),0)</f>
        <v/>
      </c>
      <c r="J15" s="311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4241.95</v>
      </c>
      <c r="U15" s="26" t="n"/>
      <c r="W15" s="310" t="n">
        <v>21236.42</v>
      </c>
      <c r="X15" s="297">
        <f>W15/1.15</f>
        <v/>
      </c>
      <c r="Z15" s="310" t="n">
        <v>22791.96</v>
      </c>
      <c r="AA15" s="297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492195.44</v>
      </c>
      <c r="C5" s="310" t="n">
        <v>361253.2</v>
      </c>
      <c r="D5" s="310" t="n">
        <v>166877.21</v>
      </c>
      <c r="E5" s="86">
        <f>IFERROR((SUM(B5-C5)/C5),0)</f>
        <v/>
      </c>
      <c r="F5" s="310" t="n">
        <v>1675457.48</v>
      </c>
      <c r="G5" s="310" t="n">
        <v>444323.67</v>
      </c>
      <c r="H5" s="452">
        <f>IFERROR((SUM(B5-G5)/G5),0)</f>
        <v/>
      </c>
      <c r="I5" s="86">
        <f>IFERROR((SUM(B5-D5)/D5),0)</f>
        <v/>
      </c>
      <c r="J5" s="311" t="n">
        <v>1251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1155</v>
      </c>
      <c r="U5" s="9" t="n"/>
      <c r="W5" s="311" t="n">
        <v>0</v>
      </c>
      <c r="X5" s="297">
        <f>W5/1.15</f>
        <v/>
      </c>
      <c r="Z5" s="311" t="n">
        <v>40663.5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253188.68</v>
      </c>
      <c r="C6" s="310" t="n">
        <v>245800.43</v>
      </c>
      <c r="D6" s="310" t="n">
        <v>317233.92</v>
      </c>
      <c r="E6" s="86">
        <f>IFERROR((SUM(B6-C6)/C6),0)</f>
        <v/>
      </c>
      <c r="F6" s="310" t="n">
        <v>1109787.74</v>
      </c>
      <c r="G6" s="310" t="n">
        <v>257339.41</v>
      </c>
      <c r="H6" s="452">
        <f>IFERROR((SUM(B6-G6)/G6),0)</f>
        <v/>
      </c>
      <c r="I6" s="86">
        <f>IFERROR((SUM(B6-D6)/D6),0)</f>
        <v/>
      </c>
      <c r="J6" s="311" t="n">
        <v>749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8012.75</v>
      </c>
      <c r="U6" s="26" t="n"/>
      <c r="W6" s="310" t="n">
        <v>50674.53</v>
      </c>
      <c r="X6" s="73">
        <f>W6/1.15</f>
        <v/>
      </c>
      <c r="Y6" s="238" t="n"/>
      <c r="Z6" s="310" t="n">
        <v>32401.81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252951.79</v>
      </c>
      <c r="C7" s="310" t="n">
        <v>284143.42</v>
      </c>
      <c r="D7" s="310" t="n">
        <v>254835.6</v>
      </c>
      <c r="E7" s="86">
        <f>IFERROR((SUM(B7-C7)/C7),0)</f>
        <v/>
      </c>
      <c r="F7" s="310" t="n">
        <v>1150445.13</v>
      </c>
      <c r="G7" s="310" t="n">
        <v>270844.26</v>
      </c>
      <c r="H7" s="452">
        <f>IFERROR((SUM(B7-G7)/G7),0)</f>
        <v/>
      </c>
      <c r="I7" s="86">
        <f>IFERROR((SUM(B7-D7)/D7),0)</f>
        <v/>
      </c>
      <c r="J7" s="311" t="n">
        <v>728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9236.85</v>
      </c>
      <c r="U7" s="26" t="n"/>
      <c r="W7" s="310" t="n">
        <v>51031.18</v>
      </c>
      <c r="X7" s="73">
        <f>W7/1.15</f>
        <v/>
      </c>
      <c r="Y7" s="238" t="n"/>
      <c r="Z7" s="310" t="n">
        <v>6138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129792.93</v>
      </c>
      <c r="C8" s="310" t="n">
        <v>147747.95</v>
      </c>
      <c r="D8" s="310" t="n">
        <v>125945.97</v>
      </c>
      <c r="E8" s="86">
        <f>IFERROR((SUM(B8-C8)/C8),0)</f>
        <v/>
      </c>
      <c r="F8" s="310" t="n">
        <v>668242.96</v>
      </c>
      <c r="G8" s="310" t="n">
        <v>144449.49</v>
      </c>
      <c r="H8" s="452">
        <f>IFERROR((SUM(B8-G8)/G8),0)</f>
        <v/>
      </c>
      <c r="I8" s="86">
        <f>IFERROR((SUM(B8-D8)/D8),0)</f>
        <v/>
      </c>
      <c r="J8" s="311" t="n">
        <v>418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2716.3</v>
      </c>
      <c r="U8" s="9" t="n"/>
      <c r="W8" s="310" t="n">
        <v>32072.41</v>
      </c>
      <c r="X8" s="73">
        <f>W8/1.15</f>
        <v/>
      </c>
      <c r="Y8" s="238" t="n"/>
      <c r="Z8" s="310" t="n">
        <v>30441.63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221228.31</v>
      </c>
      <c r="C9" s="310" t="n">
        <v>210366.12</v>
      </c>
      <c r="D9" s="310" t="n">
        <v>243010.12</v>
      </c>
      <c r="E9" s="86">
        <f>IFERROR((SUM(B9-C9)/C9),0)</f>
        <v/>
      </c>
      <c r="F9" s="310" t="n">
        <v>1037920.42</v>
      </c>
      <c r="G9" s="310" t="n">
        <v>243836.14</v>
      </c>
      <c r="H9" s="452">
        <f>IFERROR((SUM(B9-G9)/G9),0)</f>
        <v/>
      </c>
      <c r="I9" s="86">
        <f>IFERROR((SUM(B9-D9)/D9),0)</f>
        <v/>
      </c>
      <c r="J9" s="311" t="n">
        <v>748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5229</v>
      </c>
      <c r="U9" s="26" t="n"/>
      <c r="W9" s="310" t="n">
        <v>39845.07</v>
      </c>
      <c r="X9" s="73">
        <f>W9/1.15</f>
        <v/>
      </c>
      <c r="Y9" s="238" t="n"/>
      <c r="Z9" s="310" t="n">
        <v>21154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262784.09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W10/1.15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162449.88</v>
      </c>
      <c r="C11" s="310" t="n">
        <v>147740.61</v>
      </c>
      <c r="D11" s="310" t="n">
        <v>86713.33</v>
      </c>
      <c r="E11" s="86">
        <f>IFERROR((SUM(B11-C11)/C11),0)</f>
        <v/>
      </c>
      <c r="F11" s="310" t="n">
        <v>720490.61</v>
      </c>
      <c r="G11" s="310" t="n">
        <v>141938.19</v>
      </c>
      <c r="H11" s="452">
        <f>IFERROR((SUM(B11-G11)/G11),0)</f>
        <v/>
      </c>
      <c r="I11" s="86">
        <f>IFERROR((SUM(#REF!-D11)/D11),0)</f>
        <v/>
      </c>
      <c r="J11" s="311" t="n">
        <v>537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2906</v>
      </c>
      <c r="U11" s="26" t="n"/>
      <c r="W11" s="310" t="n">
        <v>52195.13</v>
      </c>
      <c r="X11" s="73">
        <f>W11/1.15</f>
        <v/>
      </c>
      <c r="Y11" s="238" t="n"/>
      <c r="Z11" s="310" t="n">
        <v>29150.28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219615.21</v>
      </c>
      <c r="C12" s="310" t="n">
        <v>194252</v>
      </c>
      <c r="D12" s="310" t="n">
        <v>206751.49</v>
      </c>
      <c r="E12" s="86">
        <f>IFERROR((SUM(B12-C12)/C12),0)</f>
        <v/>
      </c>
      <c r="F12" s="310" t="n">
        <v>1012087.92</v>
      </c>
      <c r="G12" s="310" t="n">
        <v>197350.93</v>
      </c>
      <c r="H12" s="452">
        <f>IFERROR((SUM(B12-G12)/G12),0)</f>
        <v/>
      </c>
      <c r="I12" s="86">
        <f>IFERROR((SUM(B12-D12)/D12),0)</f>
        <v/>
      </c>
      <c r="J12" s="311" t="n">
        <v>631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4246</v>
      </c>
      <c r="U12" s="9" t="n"/>
      <c r="W12" s="310" t="n">
        <v>26218.46</v>
      </c>
      <c r="X12" s="73">
        <f>W12/1.15</f>
        <v/>
      </c>
      <c r="Y12" s="238" t="n"/>
      <c r="Z12" s="310" t="n">
        <v>40349.19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185089.09</v>
      </c>
      <c r="C13" s="310" t="n">
        <v>174871.18</v>
      </c>
      <c r="D13" s="310" t="n"/>
      <c r="E13" s="86">
        <f>IFERROR((SUM(B13-C13)/C13),0)</f>
        <v/>
      </c>
      <c r="F13" s="310" t="n">
        <v>844078.2</v>
      </c>
      <c r="G13" s="310" t="n">
        <v>171446.3</v>
      </c>
      <c r="H13" s="452">
        <f>IFERROR((SUM(B13-G13)/G13),0)</f>
        <v/>
      </c>
      <c r="I13" s="86">
        <f>IFERROR((SUM(B13-D13)/D13),0)</f>
        <v/>
      </c>
      <c r="J13" s="311" t="n">
        <v>661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3510.5</v>
      </c>
      <c r="U13" s="9" t="n"/>
      <c r="W13" s="310" t="n">
        <v>21949.85</v>
      </c>
      <c r="X13" s="73">
        <f>W13/1.15</f>
        <v/>
      </c>
      <c r="Y13" s="238" t="n"/>
      <c r="Z13" s="310" t="n">
        <v>36154.1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144912.42</v>
      </c>
      <c r="C14" s="310" t="n">
        <v>161782.76</v>
      </c>
      <c r="D14" s="310" t="n">
        <v>144600.03</v>
      </c>
      <c r="E14" s="86">
        <f>IFERROR((SUM(B14-C14)/C14),0)</f>
        <v/>
      </c>
      <c r="F14" s="310" t="n">
        <v>710483.65</v>
      </c>
      <c r="G14" s="310" t="n">
        <v>165461.23</v>
      </c>
      <c r="H14" s="452">
        <f>IFERROR((SUM(B14-G14)/G14),0)</f>
        <v/>
      </c>
      <c r="I14" s="86">
        <f>IFERROR((SUM(B14-D14)/D14),0)</f>
        <v/>
      </c>
      <c r="J14" s="311" t="n">
        <v>406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2662.8</v>
      </c>
      <c r="U14" s="26" t="n"/>
      <c r="W14" s="310" t="n">
        <v>41321.66</v>
      </c>
      <c r="X14" s="73">
        <f>W14/1.15</f>
        <v/>
      </c>
      <c r="Y14" s="238" t="n"/>
      <c r="Z14" s="310" t="n">
        <v>24288.93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133294.56</v>
      </c>
      <c r="C15" s="310" t="n">
        <v>119939.62</v>
      </c>
      <c r="D15" s="310" t="n">
        <v>152846.04</v>
      </c>
      <c r="E15" s="86">
        <f>IFERROR((SUM(B15-C15)/C15),0)</f>
        <v/>
      </c>
      <c r="F15" s="310" t="n">
        <v>693123.79</v>
      </c>
      <c r="G15" s="310" t="n">
        <v>119135.14</v>
      </c>
      <c r="H15" s="452">
        <f>IFERROR((SUM(B15-G15)/G15),0)</f>
        <v/>
      </c>
      <c r="I15" s="86">
        <f>IFERROR((SUM(B15-D15)/D15),0)</f>
        <v/>
      </c>
      <c r="J15" s="311" t="n">
        <v>426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2238.5</v>
      </c>
      <c r="U15" s="26" t="n"/>
      <c r="W15" s="310" t="n">
        <v>16063.76</v>
      </c>
      <c r="X15" s="73">
        <f>W15/1.15</f>
        <v/>
      </c>
      <c r="Y15" s="238" t="n"/>
      <c r="Z15" s="310" t="n">
        <v>32973.95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7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28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5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37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456" t="n">
        <v>708778.15</v>
      </c>
      <c r="C5" s="456" t="n">
        <v>492195.44</v>
      </c>
      <c r="D5" s="310" t="n">
        <v>166877.21</v>
      </c>
      <c r="E5" s="86">
        <f>IFERROR((SUM(B5-C5)/C5),0)</f>
        <v/>
      </c>
      <c r="F5" s="310" t="n">
        <v>904131.38</v>
      </c>
      <c r="G5" s="456" t="n">
        <v>239272.61</v>
      </c>
      <c r="H5" s="452">
        <f>IFERROR((SUM(B5-G5)/G5),0)</f>
        <v/>
      </c>
      <c r="I5" s="86">
        <f>IFERROR((SUM(B5-D5)/D5),0)</f>
        <v/>
      </c>
      <c r="J5" s="311" t="n">
        <v>1797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1" t="n">
        <v>2390.4</v>
      </c>
      <c r="U5" s="9" t="n"/>
      <c r="W5" s="311" t="n">
        <v>0</v>
      </c>
      <c r="X5" s="297">
        <f>W5/1.15</f>
        <v/>
      </c>
      <c r="Z5" s="311" t="n">
        <v>60471.5</v>
      </c>
      <c r="AA5" s="297">
        <f>SUM(Z5)/1.15</f>
        <v/>
      </c>
    </row>
    <row r="6" ht="15.6" customHeight="1">
      <c r="A6" s="445" t="inlineStr">
        <is>
          <t>Eagles Landing</t>
        </is>
      </c>
      <c r="B6" s="456" t="n">
        <v>214153.71</v>
      </c>
      <c r="C6" s="456" t="n">
        <v>253188.68</v>
      </c>
      <c r="D6" s="310" t="n">
        <v>317233.92</v>
      </c>
      <c r="E6" s="86">
        <f>IFERROR((SUM(B6-C6)/C6),0)</f>
        <v/>
      </c>
      <c r="F6" s="310" t="n">
        <v>326589.28</v>
      </c>
      <c r="G6" s="456" t="n">
        <v>209420.29</v>
      </c>
      <c r="H6" s="452">
        <f>IFERROR((SUM(B6-G6)/G6),0)</f>
        <v/>
      </c>
      <c r="I6" s="86">
        <f>IFERROR((SUM(B6-D6)/D6),0)</f>
        <v/>
      </c>
      <c r="J6" s="311" t="n">
        <v>650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1" t="n">
        <v>6209.95</v>
      </c>
      <c r="U6" s="26" t="n"/>
      <c r="W6" s="311" t="n">
        <v>37788.23</v>
      </c>
      <c r="X6" s="73">
        <f>W6/1.15</f>
        <v/>
      </c>
      <c r="Y6" s="238" t="n"/>
      <c r="Z6" s="311" t="n">
        <v>25160.71</v>
      </c>
      <c r="AA6" s="73">
        <f>SUM(Z6)/1.15</f>
        <v/>
      </c>
    </row>
    <row r="7" ht="16.5" customHeight="1">
      <c r="A7" s="445" t="inlineStr">
        <is>
          <t>Irene Village</t>
        </is>
      </c>
      <c r="B7" s="456" t="n">
        <v>251090.99</v>
      </c>
      <c r="C7" s="456" t="n">
        <v>252951.79</v>
      </c>
      <c r="D7" s="310" t="n">
        <v>254835.6</v>
      </c>
      <c r="E7" s="86">
        <f>IFERROR((SUM(B7-C7)/C7),0)</f>
        <v/>
      </c>
      <c r="F7" s="310" t="n">
        <v>354663.23</v>
      </c>
      <c r="G7" s="456" t="n">
        <v>200784.01</v>
      </c>
      <c r="H7" s="452">
        <f>IFERROR((SUM(B7-G7)/G7),0)</f>
        <v/>
      </c>
      <c r="I7" s="86">
        <f>IFERROR((SUM(B7-D7)/D7),0)</f>
        <v/>
      </c>
      <c r="J7" s="311" t="n">
        <v>704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1" t="n">
        <v>7061.1</v>
      </c>
      <c r="U7" s="26" t="n"/>
      <c r="W7" s="311" t="n">
        <v>44814.43</v>
      </c>
      <c r="X7" s="73">
        <f>W7/1.15</f>
        <v/>
      </c>
      <c r="Y7" s="238" t="n"/>
      <c r="Z7" s="311" t="n">
        <v>6001</v>
      </c>
      <c r="AA7" s="73">
        <f>SUM(Z7)/1.15</f>
        <v/>
      </c>
    </row>
    <row r="8" ht="15.6" customHeight="1">
      <c r="A8" s="12" t="inlineStr">
        <is>
          <t>Kyalami Corner</t>
        </is>
      </c>
      <c r="B8" s="456" t="n">
        <v>158504.13</v>
      </c>
      <c r="C8" s="456" t="n">
        <v>129792.93</v>
      </c>
      <c r="D8" s="310" t="n">
        <v>125945.97</v>
      </c>
      <c r="E8" s="86">
        <f>IFERROR((SUM(B8-C8)/C8),0)</f>
        <v/>
      </c>
      <c r="F8" s="310" t="n">
        <v>223400.97</v>
      </c>
      <c r="G8" s="456" t="n">
        <v>113632.89</v>
      </c>
      <c r="H8" s="452">
        <f>IFERROR((SUM(B8-G8)/G8),0)</f>
        <v/>
      </c>
      <c r="I8" s="86">
        <f>IFERROR((SUM(B8-D8)/D8),0)</f>
        <v/>
      </c>
      <c r="J8" s="311" t="n">
        <v>509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1" t="n">
        <v>6466.8</v>
      </c>
      <c r="U8" s="9" t="n"/>
      <c r="W8" s="311" t="n">
        <v>35732.71</v>
      </c>
      <c r="X8" s="73">
        <f>W8/1.15</f>
        <v/>
      </c>
      <c r="Y8" s="238" t="n"/>
      <c r="Z8" s="311" t="n">
        <v>28931.82</v>
      </c>
      <c r="AA8" s="73">
        <f>SUM(Z8)/1.15</f>
        <v/>
      </c>
    </row>
    <row r="9" ht="15.6" customHeight="1">
      <c r="A9" s="12" t="inlineStr">
        <is>
          <t>Lynnwood</t>
        </is>
      </c>
      <c r="B9" s="456" t="n">
        <v>180229.59</v>
      </c>
      <c r="C9" s="456" t="n">
        <v>221228.31</v>
      </c>
      <c r="D9" s="310" t="n">
        <v>243010.12</v>
      </c>
      <c r="E9" s="86">
        <f>IFERROR((SUM(B9-C9)/C9),0)</f>
        <v/>
      </c>
      <c r="F9" s="310" t="n">
        <v>230070.06</v>
      </c>
      <c r="G9" s="456" t="n">
        <v>204104.97</v>
      </c>
      <c r="H9" s="452">
        <f>IFERROR((SUM(B9-G9)/G9),0)</f>
        <v/>
      </c>
      <c r="I9" s="86">
        <f>IFERROR((SUM(B9-D9)/D9),0)</f>
        <v/>
      </c>
      <c r="J9" s="311" t="n">
        <v>599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1" t="n">
        <v>4093.58</v>
      </c>
      <c r="U9" s="26" t="n"/>
      <c r="W9" s="311" t="n">
        <v>33960.19</v>
      </c>
      <c r="X9" s="73">
        <f>W9/1.15</f>
        <v/>
      </c>
      <c r="Y9" s="238" t="n"/>
      <c r="Z9" s="311" t="n">
        <v>26820.87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6" t="n"/>
      <c r="D10" s="310" t="n">
        <v>191397.82</v>
      </c>
      <c r="E10" s="86">
        <f>IFERROR((SUM(B10-C10)/C10),0)</f>
        <v/>
      </c>
      <c r="F10" s="310" t="n"/>
      <c r="G10" s="456" t="n">
        <v>220316.34</v>
      </c>
      <c r="H10" s="452">
        <f>IFERROR((SUM(B10-G10)/G10),0)</f>
        <v/>
      </c>
      <c r="I10" s="86">
        <f>IFERROR((SUM(B11-D10)/D10),0)</f>
        <v/>
      </c>
      <c r="J10" s="31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1" t="n"/>
      <c r="X10" s="73">
        <f>W10/1.15</f>
        <v/>
      </c>
      <c r="Y10" s="238" t="n"/>
      <c r="Z10" s="311" t="n"/>
      <c r="AA10" s="73">
        <f>SUM(Z10)/1.15</f>
        <v/>
      </c>
    </row>
    <row r="11" ht="15.6" customHeight="1">
      <c r="A11" s="445" t="inlineStr">
        <is>
          <t>Melville</t>
        </is>
      </c>
      <c r="B11" s="456" t="n">
        <v>122768.07</v>
      </c>
      <c r="C11" s="456" t="n">
        <v>162449.88</v>
      </c>
      <c r="D11" s="310" t="n">
        <v>86713.33</v>
      </c>
      <c r="E11" s="86">
        <f>IFERROR((SUM(B11-C11)/C11),0)</f>
        <v/>
      </c>
      <c r="F11" s="310" t="n">
        <v>181779.84</v>
      </c>
      <c r="G11" s="456" t="n">
        <v>110426.79</v>
      </c>
      <c r="H11" s="452">
        <f>IFERROR((SUM(B11-G11)/G11),0)</f>
        <v/>
      </c>
      <c r="I11" s="86">
        <f>IFERROR((SUM(#REF!-D11)/D11),0)</f>
        <v/>
      </c>
      <c r="J11" s="311" t="n">
        <v>422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1" t="n">
        <v>3261.65</v>
      </c>
      <c r="U11" s="26" t="n"/>
      <c r="W11" s="311" t="n">
        <v>44477.48</v>
      </c>
      <c r="X11" s="73">
        <f>W11/1.15</f>
        <v/>
      </c>
      <c r="Y11" s="238" t="n"/>
      <c r="Z11" s="311" t="n">
        <v>18174.96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456" t="n">
        <v>147748.18</v>
      </c>
      <c r="C12" s="456" t="n">
        <v>219615.21</v>
      </c>
      <c r="D12" s="310" t="n">
        <v>206751.49</v>
      </c>
      <c r="E12" s="86">
        <f>IFERROR((SUM(B12-C12)/C12),0)</f>
        <v/>
      </c>
      <c r="F12" s="310" t="n">
        <v>216784.82</v>
      </c>
      <c r="G12" s="456" t="n">
        <v>174425.79</v>
      </c>
      <c r="H12" s="452">
        <f>IFERROR((SUM(B12-G12)/G12),0)</f>
        <v/>
      </c>
      <c r="I12" s="86">
        <f>IFERROR((SUM(B12-D12)/D12),0)</f>
        <v/>
      </c>
      <c r="J12" s="311" t="n">
        <v>563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1" t="n">
        <v>4629.5</v>
      </c>
      <c r="U12" s="9" t="n"/>
      <c r="W12" s="311" t="n">
        <v>26212.79</v>
      </c>
      <c r="X12" s="73">
        <f>W12/1.15</f>
        <v/>
      </c>
      <c r="Y12" s="238" t="n"/>
      <c r="Z12" s="311" t="n">
        <v>27438.61</v>
      </c>
      <c r="AA12" s="73">
        <f>SUM(Z12)/1.15</f>
        <v/>
      </c>
    </row>
    <row r="13" ht="15.6" customHeight="1">
      <c r="A13" s="12" t="inlineStr">
        <is>
          <t>Queenswood</t>
        </is>
      </c>
      <c r="B13" s="456" t="n">
        <v>166128.23</v>
      </c>
      <c r="C13" s="456" t="n">
        <v>185089.09</v>
      </c>
      <c r="D13" s="310" t="n"/>
      <c r="E13" s="86">
        <f>IFERROR((SUM(B13-C13)/C13),0)</f>
        <v/>
      </c>
      <c r="F13" s="310" t="n">
        <v>217282.12</v>
      </c>
      <c r="G13" s="456" t="n">
        <v>144420.69</v>
      </c>
      <c r="H13" s="452">
        <f>IFERROR((SUM(B13-G13)/G13),0)</f>
        <v/>
      </c>
      <c r="I13" s="86">
        <f>IFERROR((SUM(B13-D13)/D13),0)</f>
        <v/>
      </c>
      <c r="J13" s="311" t="n">
        <v>568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1" t="n">
        <v>2902.5</v>
      </c>
      <c r="U13" s="9" t="n"/>
      <c r="W13" s="311" t="n">
        <v>21007.02</v>
      </c>
      <c r="X13" s="73">
        <f>W13/1.15</f>
        <v/>
      </c>
      <c r="Y13" s="238" t="n"/>
      <c r="Z13" s="311" t="n">
        <v>24730.34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456" t="n">
        <v>132525.17</v>
      </c>
      <c r="C14" s="456" t="n">
        <v>144912.42</v>
      </c>
      <c r="D14" s="310" t="n">
        <v>144600.03</v>
      </c>
      <c r="E14" s="86">
        <f>IFERROR((SUM(B14-C14)/C14),0)</f>
        <v/>
      </c>
      <c r="F14" s="310" t="n">
        <v>185692.51</v>
      </c>
      <c r="G14" s="456" t="n">
        <v>153079.94</v>
      </c>
      <c r="H14" s="452">
        <f>IFERROR((SUM(B14-G14)/G14),0)</f>
        <v/>
      </c>
      <c r="I14" s="86">
        <f>IFERROR((SUM(B14-D14)/D14),0)</f>
        <v/>
      </c>
      <c r="J14" s="311" t="n">
        <v>404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1" t="n">
        <v>1913.6</v>
      </c>
      <c r="U14" s="26" t="n"/>
      <c r="W14" s="311" t="n">
        <v>28387.64</v>
      </c>
      <c r="X14" s="73">
        <f>W14/1.15</f>
        <v/>
      </c>
      <c r="Y14" s="238" t="n"/>
      <c r="Z14" s="311" t="n">
        <v>24778.05</v>
      </c>
      <c r="AA14" s="73">
        <f>SUM(Z14)/1.15</f>
        <v/>
      </c>
    </row>
    <row r="15" ht="15.6" customHeight="1">
      <c r="A15" s="12" t="inlineStr">
        <is>
          <t>Stellenbosch</t>
        </is>
      </c>
      <c r="B15" s="456" t="n">
        <v>96961.12</v>
      </c>
      <c r="C15" s="456" t="n">
        <v>133294.56</v>
      </c>
      <c r="D15" s="310" t="n">
        <v>152846.04</v>
      </c>
      <c r="E15" s="86">
        <f>IFERROR((SUM(B15-C15)/C15),0)</f>
        <v/>
      </c>
      <c r="F15" s="310" t="n">
        <v>161634.22</v>
      </c>
      <c r="G15" s="456" t="n">
        <v>131821.94</v>
      </c>
      <c r="H15" s="452">
        <f>IFERROR((SUM(B15-G15)/G15),0)</f>
        <v/>
      </c>
      <c r="I15" s="86">
        <f>IFERROR((SUM(B15-D15)/D15),0)</f>
        <v/>
      </c>
      <c r="J15" s="311" t="n">
        <v>345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1" t="n">
        <v>3536</v>
      </c>
      <c r="U15" s="26" t="n"/>
      <c r="W15" s="311" t="n">
        <v>15042.55</v>
      </c>
      <c r="X15" s="73">
        <f>W15/1.15</f>
        <v/>
      </c>
      <c r="Y15" s="238" t="n"/>
      <c r="Z15" s="311" t="n">
        <v>14780.04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8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8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8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8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8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8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8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8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8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81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81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81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81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81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81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81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81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81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81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81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81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81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55">
        <f>SUM(F5:F15)</f>
        <v/>
      </c>
      <c r="G4" s="9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347623.37</v>
      </c>
      <c r="C5" s="457" t="n">
        <v>708778.15</v>
      </c>
      <c r="D5" s="310" t="n">
        <v>166877.21</v>
      </c>
      <c r="E5" s="86">
        <f>IFERROR((SUM(B5-C5)/C5),0)</f>
        <v/>
      </c>
      <c r="F5" s="310" t="n">
        <v>1251754.75</v>
      </c>
      <c r="G5" s="310" t="n">
        <v>335112.24</v>
      </c>
      <c r="H5" s="452">
        <f>IFERROR((SUM(B5-G5)/G5),0)</f>
        <v/>
      </c>
      <c r="I5" s="86">
        <f>IFERROR((SUM(B5-D5)/D5),0)</f>
        <v/>
      </c>
      <c r="J5" s="461" t="n">
        <v>919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2633</v>
      </c>
      <c r="U5" s="9" t="n"/>
      <c r="W5" s="297">
        <f>V5/1.15</f>
        <v/>
      </c>
      <c r="X5" s="297">
        <f>W5/1.15</f>
        <v/>
      </c>
      <c r="Z5" s="310" t="n">
        <v>33320.5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251695.12</v>
      </c>
      <c r="C6" s="457" t="n">
        <v>214153.71</v>
      </c>
      <c r="D6" s="310" t="n">
        <v>317233.92</v>
      </c>
      <c r="E6" s="86">
        <f>IFERROR((SUM(B6-C6)/C6),0)</f>
        <v/>
      </c>
      <c r="F6" s="310" t="n">
        <v>552816.61</v>
      </c>
      <c r="G6" s="310" t="n">
        <v>209516.9</v>
      </c>
      <c r="H6" s="452">
        <f>IFERROR((SUM(B6-G6)/G6),0)</f>
        <v/>
      </c>
      <c r="I6" s="86">
        <f>IFERROR((SUM(B6-D6)/D6),0)</f>
        <v/>
      </c>
      <c r="J6" s="461" t="n">
        <v>703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6932.3</v>
      </c>
      <c r="U6" s="26" t="n"/>
      <c r="W6" s="310" t="n">
        <v>43479.36</v>
      </c>
      <c r="X6" s="73">
        <f>W6/1.15</f>
        <v/>
      </c>
      <c r="Y6" s="238" t="n"/>
      <c r="Z6" s="310" t="n">
        <v>26709.85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251120.6</v>
      </c>
      <c r="C7" s="457" t="n">
        <v>251090.99</v>
      </c>
      <c r="D7" s="310" t="n">
        <v>254835.6</v>
      </c>
      <c r="E7" s="86">
        <f>IFERROR((SUM(B7-C7)/C7),0)</f>
        <v/>
      </c>
      <c r="F7" s="310" t="n">
        <v>605783.83</v>
      </c>
      <c r="G7" s="310" t="n">
        <v>224068.72</v>
      </c>
      <c r="H7" s="452">
        <f>IFERROR((SUM(B7-G7)/G7),0)</f>
        <v/>
      </c>
      <c r="I7" s="86">
        <f>IFERROR((SUM(B7-D7)/D7),0)</f>
        <v/>
      </c>
      <c r="J7" t="n">
        <v>656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4590.1</v>
      </c>
      <c r="U7" s="26" t="n"/>
      <c r="W7" s="310" t="n">
        <v>44383.37</v>
      </c>
      <c r="X7" s="73">
        <f>W7/1.15</f>
        <v/>
      </c>
      <c r="Y7" s="238" t="n"/>
      <c r="Z7" s="310" t="n">
        <v>1389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134829.23</v>
      </c>
      <c r="C8" s="457" t="n">
        <v>158504.13</v>
      </c>
      <c r="D8" s="310" t="n">
        <v>125945.97</v>
      </c>
      <c r="E8" s="86">
        <f>IFERROR((SUM(B8-C8)/C8),0)</f>
        <v/>
      </c>
      <c r="F8" s="310" t="n">
        <v>343831.67</v>
      </c>
      <c r="G8" s="310" t="n">
        <v>141328.62</v>
      </c>
      <c r="H8" s="452">
        <f>IFERROR((SUM(B8-G8)/G8),0)</f>
        <v/>
      </c>
      <c r="I8" s="86">
        <f>IFERROR((SUM(B8-D8)/D8),0)</f>
        <v/>
      </c>
      <c r="J8" t="n">
        <v>459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4417.05</v>
      </c>
      <c r="U8" s="9" t="n"/>
      <c r="W8" s="310" t="n">
        <v>22246.66</v>
      </c>
      <c r="X8" s="73">
        <f>W8/1.15</f>
        <v/>
      </c>
      <c r="Y8" s="238" t="n"/>
      <c r="Z8" s="310" t="n">
        <v>33287.31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223820.94</v>
      </c>
      <c r="C9" s="457" t="n">
        <v>180229.59</v>
      </c>
      <c r="D9" s="310" t="n">
        <v>243010.12</v>
      </c>
      <c r="E9" s="86">
        <f>IFERROR((SUM(B9-C9)/C9),0)</f>
        <v/>
      </c>
      <c r="F9" s="310" t="n">
        <v>453891</v>
      </c>
      <c r="G9" s="310" t="n">
        <v>182058.69</v>
      </c>
      <c r="H9" s="452">
        <f>IFERROR((SUM(B9-G9)/G9),0)</f>
        <v/>
      </c>
      <c r="I9" s="86">
        <f>IFERROR((SUM(B9-D9)/D9),0)</f>
        <v/>
      </c>
      <c r="J9" t="n">
        <v>688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3888</v>
      </c>
      <c r="U9" s="26" t="n"/>
      <c r="W9" s="310" t="n">
        <v>30971.96</v>
      </c>
      <c r="X9" s="73">
        <f>W9/1.15</f>
        <v/>
      </c>
      <c r="Y9" s="238" t="n"/>
      <c r="Z9" s="310" t="n">
        <v>24901.88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86">
        <f>IFERROR((SUM(B10-C10)/C10),0)</f>
        <v/>
      </c>
      <c r="F10" s="310" t="n"/>
      <c r="G10" s="310" t="n">
        <v>217553.9</v>
      </c>
      <c r="H10" s="452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153246.05</v>
      </c>
      <c r="C11" s="457" t="n">
        <v>122768.07</v>
      </c>
      <c r="D11" s="310" t="n">
        <v>86713.33</v>
      </c>
      <c r="E11" s="86">
        <f>IFERROR((SUM(B11-C11)/C11),0)</f>
        <v/>
      </c>
      <c r="F11" s="310" t="n">
        <v>316422.85</v>
      </c>
      <c r="G11" s="310" t="n">
        <v>114307.8</v>
      </c>
      <c r="H11" s="452">
        <f>IFERROR((SUM(B11-G11)/G11),0)</f>
        <v/>
      </c>
      <c r="I11" s="86">
        <f>IFERROR((SUM(#REF!-D11)/D11),0)</f>
        <v/>
      </c>
      <c r="J11" t="n">
        <v>690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2297.7</v>
      </c>
      <c r="U11" s="26" t="n"/>
      <c r="W11" s="310" t="n">
        <v>40032.72</v>
      </c>
      <c r="X11" s="73">
        <f>W12/1.15</f>
        <v/>
      </c>
      <c r="Y11" s="238" t="n"/>
      <c r="Z11" s="310" t="n">
        <v>17613.12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205078.6</v>
      </c>
      <c r="C12" s="457" t="n">
        <v>147748.18</v>
      </c>
      <c r="D12" s="310" t="n">
        <v>206751.49</v>
      </c>
      <c r="E12" s="86">
        <f>IFERROR((SUM(B12-C12)/C12),0)</f>
        <v/>
      </c>
      <c r="F12" s="310" t="n">
        <v>421863.42</v>
      </c>
      <c r="G12" s="310" t="n">
        <v>168235.41</v>
      </c>
      <c r="H12" s="452">
        <f>IFERROR((SUM(B12-#REF!)/#REF!),0)</f>
        <v/>
      </c>
      <c r="I12" s="86">
        <f>IFERROR((SUM(B12-D12)/D12),0)</f>
        <v/>
      </c>
      <c r="J12" s="461" t="n">
        <v>599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7491</v>
      </c>
      <c r="U12" s="9" t="n"/>
      <c r="W12" s="310" t="n">
        <v>28517.03</v>
      </c>
      <c r="X12" s="73">
        <f>W12/1.15</f>
        <v/>
      </c>
      <c r="Y12" s="238" t="n"/>
      <c r="Z12" s="310" t="n">
        <v>30722.33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172027.86</v>
      </c>
      <c r="C13" s="457" t="n">
        <v>166128.23</v>
      </c>
      <c r="D13" s="310" t="n"/>
      <c r="E13" s="86">
        <f>IFERROR((SUM(B13-C13)/C13),0)</f>
        <v/>
      </c>
      <c r="F13" s="310" t="n">
        <v>389309.98</v>
      </c>
      <c r="G13" s="310" t="n">
        <v>146890.01</v>
      </c>
      <c r="H13" s="452">
        <f>IFERROR((SUM(B13-G12)/G12),0)</f>
        <v/>
      </c>
      <c r="I13" s="86">
        <f>IFERROR((SUM(B13-D13)/D13),0)</f>
        <v/>
      </c>
      <c r="J13" t="n">
        <v>580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3535</v>
      </c>
      <c r="U13" s="9" t="n"/>
      <c r="W13" s="310" t="n">
        <v>21397.93</v>
      </c>
      <c r="X13" s="73">
        <f>W13/1.15</f>
        <v/>
      </c>
      <c r="Y13" s="238" t="n"/>
      <c r="Z13" s="310" t="n">
        <v>30754.61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130065.22</v>
      </c>
      <c r="C14" s="457" t="n">
        <v>132525.17</v>
      </c>
      <c r="D14" s="310" t="n">
        <v>144600.03</v>
      </c>
      <c r="E14" s="86">
        <f>IFERROR((SUM(B14-C14)/C14),0)</f>
        <v/>
      </c>
      <c r="F14" s="310" t="n">
        <v>300076.84</v>
      </c>
      <c r="G14" s="310" t="n">
        <v>127675.73</v>
      </c>
      <c r="H14" s="452">
        <f>IFERROR((SUM(B14-G14)/G14),0)</f>
        <v/>
      </c>
      <c r="I14" s="86">
        <f>IFERROR((SUM(B14-D14)/D14),0)</f>
        <v/>
      </c>
      <c r="J14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2292</v>
      </c>
      <c r="U14" s="26" t="n"/>
      <c r="W14" s="310" t="n">
        <v>39285.75</v>
      </c>
      <c r="X14" s="73">
        <f>W14/1.15</f>
        <v/>
      </c>
      <c r="Y14" s="238" t="n"/>
      <c r="Z14" s="310" t="n">
        <v>20619.86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136471.6</v>
      </c>
      <c r="C15" s="457" t="n">
        <v>96961.12</v>
      </c>
      <c r="D15" s="310" t="n">
        <v>152846.04</v>
      </c>
      <c r="E15" s="86">
        <f>IFERROR((SUM(B15-C15)/C15),0)</f>
        <v/>
      </c>
      <c r="F15" s="310" t="n">
        <v>277006.52</v>
      </c>
      <c r="G15" s="310" t="n">
        <v>116316.31</v>
      </c>
      <c r="H15" s="452">
        <f>IFERROR((SUM(B15-G15)/G15),0)</f>
        <v/>
      </c>
      <c r="I15" s="86">
        <f>IFERROR((SUM(B15-D15)/D15),0)</f>
        <v/>
      </c>
      <c r="J15" s="461" t="n">
        <v>472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5418.05</v>
      </c>
      <c r="U15" s="26" t="n"/>
      <c r="W15" s="310" t="n">
        <v>17252.56</v>
      </c>
      <c r="X15" s="73">
        <f>W15/1.15</f>
        <v/>
      </c>
      <c r="Y15" s="238" t="n"/>
      <c r="Z15" s="310" t="n">
        <v>25883.87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3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256064.54</v>
      </c>
      <c r="C5" s="457" t="n">
        <v>347623.37</v>
      </c>
      <c r="D5" s="310" t="n">
        <v>166877.21</v>
      </c>
      <c r="E5" s="77">
        <f>IFERROR((SUM(B5-C5)/C5),0)</f>
        <v/>
      </c>
      <c r="F5" s="466" t="n">
        <v>1507819.29</v>
      </c>
      <c r="G5" s="310" t="n">
        <v>424091.17</v>
      </c>
      <c r="H5" s="467">
        <f>IFERROR((SUM(B5-G5)/G5),0)</f>
        <v/>
      </c>
      <c r="I5" s="86">
        <f>IFERROR((SUM(B5-D5)/D5),0)</f>
        <v/>
      </c>
      <c r="J5" s="461" t="n">
        <v>741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4582.05</v>
      </c>
      <c r="U5" s="9" t="n"/>
      <c r="W5" s="297">
        <f>V5/1.15</f>
        <v/>
      </c>
      <c r="X5" s="297">
        <f>W5/1.15</f>
        <v/>
      </c>
      <c r="Z5" s="310" t="n">
        <v>23387.5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152531.62</v>
      </c>
      <c r="C6" s="457" t="n">
        <v>251695.12</v>
      </c>
      <c r="D6" s="310" t="n">
        <v>317233.92</v>
      </c>
      <c r="E6" s="77">
        <f>IFERROR((SUM(B6-C6)/C6),0)</f>
        <v/>
      </c>
      <c r="F6" s="466" t="n">
        <v>705348.23</v>
      </c>
      <c r="G6" s="310" t="n">
        <v>227149.97</v>
      </c>
      <c r="H6" s="467">
        <f>IFERROR((SUM(B6-G6)/G6),0)</f>
        <v/>
      </c>
      <c r="I6" s="86">
        <f>IFERROR((SUM(B6-D6)/D6),0)</f>
        <v/>
      </c>
      <c r="J6" s="461" t="n">
        <v>477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5561.9</v>
      </c>
      <c r="U6" s="26" t="n"/>
      <c r="W6" s="310" t="n">
        <v>28369.43</v>
      </c>
      <c r="X6" s="73">
        <f>W6/1.15</f>
        <v/>
      </c>
      <c r="Y6" s="238" t="n"/>
      <c r="Z6" s="310" t="n">
        <v>22782.69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214387.67</v>
      </c>
      <c r="C7" s="457" t="n">
        <v>251120.6</v>
      </c>
      <c r="D7" s="310" t="n">
        <v>254835.6</v>
      </c>
      <c r="E7" s="77">
        <f>IFERROR((SUM(B7-C7)/C7),0)</f>
        <v/>
      </c>
      <c r="F7" s="466" t="n">
        <v>820171.5</v>
      </c>
      <c r="G7" s="310" t="n">
        <v>232877.04</v>
      </c>
      <c r="H7" s="467">
        <f>IFERROR((SUM(B7-G7)/G7),0)</f>
        <v/>
      </c>
      <c r="I7" s="86">
        <f>IFERROR((SUM(B7-D7)/D7),0)</f>
        <v/>
      </c>
      <c r="J7" s="311" t="n">
        <v>608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4061.8</v>
      </c>
      <c r="U7" s="26" t="n"/>
      <c r="W7" s="310" t="n">
        <v>41101.25</v>
      </c>
      <c r="X7" s="73">
        <f>W7/1.15</f>
        <v/>
      </c>
      <c r="Y7" s="238" t="n"/>
      <c r="Z7" s="310" t="n">
        <v>3523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168522.9</v>
      </c>
      <c r="C8" s="457" t="n">
        <v>134829.23</v>
      </c>
      <c r="D8" s="310" t="n">
        <v>125945.97</v>
      </c>
      <c r="E8" s="77">
        <f>IFERROR((SUM(B8-C8)/C8),0)</f>
        <v/>
      </c>
      <c r="F8" s="466" t="n">
        <v>512354.57</v>
      </c>
      <c r="G8" s="310" t="n">
        <v>133740.87</v>
      </c>
      <c r="H8" s="467">
        <f>IFERROR((SUM(B8-G8)/G8),0)</f>
        <v/>
      </c>
      <c r="I8" s="86">
        <f>IFERROR((SUM(B8-D8)/D8),0)</f>
        <v/>
      </c>
      <c r="J8" s="311" t="n">
        <v>498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4263.15</v>
      </c>
      <c r="U8" s="9" t="n"/>
      <c r="W8" s="310" t="n">
        <v>33572.98</v>
      </c>
      <c r="X8" s="73">
        <f>W8/1.15</f>
        <v/>
      </c>
      <c r="Y8" s="238" t="n"/>
      <c r="Z8" s="310" t="n">
        <v>37748.95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222599.19</v>
      </c>
      <c r="C9" s="457" t="n">
        <v>223820.94</v>
      </c>
      <c r="D9" s="310" t="n">
        <v>243010.12</v>
      </c>
      <c r="E9" s="77">
        <f>IFERROR((SUM(B9-C9)/C9),0)</f>
        <v/>
      </c>
      <c r="F9" s="466" t="n">
        <v>676490.1899999999</v>
      </c>
      <c r="G9" s="310" t="n">
        <v>220376.4</v>
      </c>
      <c r="H9" s="467">
        <f>IFERROR((SUM(B9-G9)/G9),0)</f>
        <v/>
      </c>
      <c r="I9" s="86">
        <f>IFERROR((SUM(B9-D9)/D9),0)</f>
        <v/>
      </c>
      <c r="J9" s="311" t="n">
        <v>692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4043.5</v>
      </c>
      <c r="U9" s="26" t="n"/>
      <c r="W9" s="310" t="n">
        <v>35893.68</v>
      </c>
      <c r="X9" s="73">
        <f>W9/1.15</f>
        <v/>
      </c>
      <c r="Y9" s="238" t="n"/>
      <c r="Z9" s="310" t="n">
        <v>31039.5</v>
      </c>
      <c r="AA9" s="73">
        <f>SUM(Z9)/1.15</f>
        <v/>
      </c>
    </row>
    <row r="10" ht="15.6" customHeight="1">
      <c r="A10" s="445" t="inlineStr">
        <is>
          <t>Melrose Arch</t>
        </is>
      </c>
      <c r="B10" s="456" t="n"/>
      <c r="C10" s="457" t="n"/>
      <c r="D10" s="310" t="n">
        <v>191397.82</v>
      </c>
      <c r="E10" s="77">
        <f>IFERROR((SUM(B10-C10)/C10),0)</f>
        <v/>
      </c>
      <c r="F10" s="466" t="n"/>
      <c r="G10" s="310" t="n">
        <v>190088.51</v>
      </c>
      <c r="H10" s="467">
        <f>IFERROR((SUM(B10-G10)/G10),0)</f>
        <v/>
      </c>
      <c r="I10" s="86">
        <f>IFERROR((SUM(B11-D10)/D10),0)</f>
        <v/>
      </c>
      <c r="J10" s="461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158992.33</v>
      </c>
      <c r="C11" s="457" t="n">
        <v>153246.05</v>
      </c>
      <c r="D11" s="310" t="n">
        <v>86713.33</v>
      </c>
      <c r="E11" s="77">
        <f>IFERROR((SUM(B11-C11)/C11),0)</f>
        <v/>
      </c>
      <c r="F11" s="466" t="n">
        <v>475415.18</v>
      </c>
      <c r="G11" s="310" t="n">
        <v>129274.54</v>
      </c>
      <c r="H11" s="467">
        <f>IFERROR((SUM(B11-G11)/G11),0)</f>
        <v/>
      </c>
      <c r="I11" s="86">
        <f>IFERROR((SUM(#REF!-D11)/D11),0)</f>
        <v/>
      </c>
      <c r="J11" s="311" t="n">
        <v>433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4159.5</v>
      </c>
      <c r="U11" s="26" t="n"/>
      <c r="W11" s="310" t="n">
        <v>42617.49</v>
      </c>
      <c r="X11" s="73">
        <f>W12/1.15</f>
        <v/>
      </c>
      <c r="Y11" s="238" t="n"/>
      <c r="Z11" s="310" t="n">
        <v>29813.69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208196.26</v>
      </c>
      <c r="C12" s="457" t="n">
        <v>205078.6</v>
      </c>
      <c r="D12" s="310" t="n">
        <v>206751.49</v>
      </c>
      <c r="E12" s="77">
        <f>IFERROR((SUM(B12-C12)/C12),0)</f>
        <v/>
      </c>
      <c r="F12" s="466" t="n">
        <v>630059.6800000001</v>
      </c>
      <c r="G12" s="310" t="n">
        <v>205771.42</v>
      </c>
      <c r="H12" s="467">
        <f>IFERROR((SUM(B12-#REF!)/#REF!),0)</f>
        <v/>
      </c>
      <c r="I12" s="86">
        <f>IFERROR((SUM(B12-D12)/D12),0)</f>
        <v/>
      </c>
      <c r="J12" s="461" t="n">
        <v>728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5468.5</v>
      </c>
      <c r="U12" s="9" t="n"/>
      <c r="W12" s="310" t="n">
        <v>35714.86</v>
      </c>
      <c r="X12" s="73">
        <f>W12/1.15</f>
        <v/>
      </c>
      <c r="Y12" s="238" t="n"/>
      <c r="Z12" s="310" t="n">
        <v>34557.69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161350.95</v>
      </c>
      <c r="C13" s="457" t="n">
        <v>172027.86</v>
      </c>
      <c r="D13" s="310" t="n"/>
      <c r="E13" s="77">
        <f>IFERROR((SUM(B13-C13)/C13),0)</f>
        <v/>
      </c>
      <c r="F13" s="466" t="n">
        <v>550660.9300000001</v>
      </c>
      <c r="G13" s="310" t="n">
        <v>157450.38</v>
      </c>
      <c r="H13" s="467">
        <f>IFERROR((SUM(B13-G12)/G12),0)</f>
        <v/>
      </c>
      <c r="I13" s="86">
        <f>IFERROR((SUM(B13-D13)/D13),0)</f>
        <v/>
      </c>
      <c r="J13" s="311" t="n">
        <v>524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3055</v>
      </c>
      <c r="U13" s="9" t="n"/>
      <c r="W13" s="310" t="n">
        <v>30013.67</v>
      </c>
      <c r="X13" s="73">
        <f>W13/1.15</f>
        <v/>
      </c>
      <c r="Y13" s="238" t="n"/>
      <c r="Z13" s="310" t="n">
        <v>27634.64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137911.5</v>
      </c>
      <c r="C14" s="457" t="n">
        <v>130065.22</v>
      </c>
      <c r="D14" s="310" t="n">
        <v>144600.03</v>
      </c>
      <c r="E14" s="77">
        <f>IFERROR((SUM(B14-C14)/C14),0)</f>
        <v/>
      </c>
      <c r="F14" s="466" t="n">
        <v>437988.34</v>
      </c>
      <c r="G14" s="310" t="n">
        <v>151703.32</v>
      </c>
      <c r="H14" s="467">
        <f>IFERROR((SUM(B14-G14)/G14),0)</f>
        <v/>
      </c>
      <c r="I14" s="86">
        <f>IFERROR((SUM(B14-D14)/D14),0)</f>
        <v/>
      </c>
      <c r="J14" s="311" t="n">
        <v>417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5106.7</v>
      </c>
      <c r="U14" s="26" t="n"/>
      <c r="W14" s="310" t="n">
        <v>30879.08</v>
      </c>
      <c r="X14" s="73">
        <f>W14/1.15</f>
        <v/>
      </c>
      <c r="Y14" s="238" t="n"/>
      <c r="Z14" s="310" t="n">
        <v>23115.69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147084.65</v>
      </c>
      <c r="C15" s="457" t="n">
        <v>136471.6</v>
      </c>
      <c r="D15" s="310" t="n">
        <v>152846.04</v>
      </c>
      <c r="E15" s="77">
        <f>IFERROR((SUM(B15-C15)/C15),0)</f>
        <v/>
      </c>
      <c r="F15" s="466" t="n">
        <v>424091.17</v>
      </c>
      <c r="G15" s="310" t="n">
        <v>123322.3</v>
      </c>
      <c r="H15" s="467">
        <f>IFERROR((SUM(B15-G15)/G15),0)</f>
        <v/>
      </c>
      <c r="I15" s="86">
        <f>IFERROR((SUM(B15-D15)/D15),0)</f>
        <v/>
      </c>
      <c r="J15" s="461" t="n">
        <v>486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4893.9</v>
      </c>
      <c r="U15" s="26" t="n"/>
      <c r="W15" s="310" t="n">
        <v>24188.94</v>
      </c>
      <c r="X15" s="73">
        <f>W15/1.15</f>
        <v/>
      </c>
      <c r="Y15" s="238" t="n"/>
      <c r="Z15" s="310" t="n">
        <v>32817.91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t="n">
        <v>430839.24</v>
      </c>
      <c r="C5" s="310" t="n">
        <v>256064.54</v>
      </c>
      <c r="D5" s="310" t="n">
        <v>166877.21</v>
      </c>
      <c r="E5" s="77">
        <f>IFERROR((SUM(B5-C5)/C5),0)</f>
        <v/>
      </c>
      <c r="F5" s="310" t="n">
        <v>1938658.53</v>
      </c>
      <c r="G5" s="310" t="n">
        <v>304217.65</v>
      </c>
      <c r="H5" s="467">
        <f>IFERROR((SUM(B5-G5)/G5),0)</f>
        <v/>
      </c>
      <c r="I5" s="86">
        <f>IFERROR((SUM(B5-D5)/D5),0)</f>
        <v/>
      </c>
      <c r="J5" s="310" t="n">
        <v>1113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2348</v>
      </c>
      <c r="U5" s="9" t="n"/>
      <c r="W5" s="310" t="n">
        <v>0</v>
      </c>
      <c r="X5" s="297">
        <f>W5/1.15</f>
        <v/>
      </c>
      <c r="Z5" s="310" t="n">
        <v>42343.5</v>
      </c>
      <c r="AA5" s="297">
        <f>SUM(Z5)/1.15</f>
        <v/>
      </c>
    </row>
    <row r="6" ht="15.6" customHeight="1">
      <c r="A6" s="445" t="inlineStr">
        <is>
          <t>Eagles Landing</t>
        </is>
      </c>
      <c r="B6" t="n">
        <v>263890.23</v>
      </c>
      <c r="C6" s="310" t="n">
        <v>152531.62</v>
      </c>
      <c r="D6" s="310" t="n">
        <v>317233.92</v>
      </c>
      <c r="E6" s="77">
        <f>IFERROR((SUM(B6-C6)/C6),0)</f>
        <v/>
      </c>
      <c r="F6" s="310" t="n">
        <v>1036047.46</v>
      </c>
      <c r="G6" s="310" t="n">
        <v>250178.98</v>
      </c>
      <c r="H6" s="467">
        <f>IFERROR((SUM(B6-G6)/G6),0)</f>
        <v/>
      </c>
      <c r="I6" s="86">
        <f>IFERROR((SUM(B6-D6)/D6),0)</f>
        <v/>
      </c>
      <c r="J6" s="310" t="n">
        <v>716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9262.450000000001</v>
      </c>
      <c r="U6" s="26" t="n"/>
      <c r="W6" s="310" t="n">
        <v>44066.98</v>
      </c>
      <c r="X6" s="73">
        <f>W6/1.15</f>
        <v/>
      </c>
      <c r="Y6" s="238" t="n"/>
      <c r="Z6" s="310" t="n">
        <v>31593.46</v>
      </c>
      <c r="AA6" s="73">
        <f>SUM(Z6)/1.15</f>
        <v/>
      </c>
    </row>
    <row r="7" ht="16.5" customHeight="1">
      <c r="A7" s="445" t="inlineStr">
        <is>
          <t>Irene Village</t>
        </is>
      </c>
      <c r="B7" t="n">
        <v>297212.74</v>
      </c>
      <c r="C7" s="310" t="n">
        <v>214387.67</v>
      </c>
      <c r="D7" s="310" t="n">
        <v>254835.6</v>
      </c>
      <c r="E7" s="77">
        <f>IFERROR((SUM(B7-C7)/C7),0)</f>
        <v/>
      </c>
      <c r="F7" s="310" t="n">
        <v>1117384.24</v>
      </c>
      <c r="G7" s="310" t="n">
        <v>272852.59</v>
      </c>
      <c r="H7" s="467">
        <f>IFERROR((SUM(B7-G7)/G7),0)</f>
        <v/>
      </c>
      <c r="I7" s="86">
        <f>IFERROR((SUM(B7-D7)/D7),0)</f>
        <v/>
      </c>
      <c r="J7" s="310" t="n">
        <v>808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5170.9</v>
      </c>
      <c r="U7" s="26" t="n"/>
      <c r="W7" s="310" t="n">
        <v>45712.5</v>
      </c>
      <c r="X7" s="73">
        <f>W7/1.15</f>
        <v/>
      </c>
      <c r="Y7" s="238" t="n"/>
      <c r="Z7" s="310" t="n">
        <v>3404.5</v>
      </c>
      <c r="AA7" s="73">
        <f>SUM(Z7)/1.15</f>
        <v/>
      </c>
    </row>
    <row r="8" ht="15.6" customHeight="1">
      <c r="A8" s="12" t="inlineStr">
        <is>
          <t>Kyalami Corner</t>
        </is>
      </c>
      <c r="B8" t="n">
        <v>143917.61</v>
      </c>
      <c r="C8" s="310" t="n">
        <v>168522.9</v>
      </c>
      <c r="D8" s="310" t="n">
        <v>125945.97</v>
      </c>
      <c r="E8" s="77">
        <f>IFERROR((SUM(B8-C8)/C8),0)</f>
        <v/>
      </c>
      <c r="F8" s="310" t="n">
        <v>656272.1800000001</v>
      </c>
      <c r="G8" s="310" t="n">
        <v>141716.53</v>
      </c>
      <c r="H8" s="467">
        <f>IFERROR((SUM(B8-G8)/G8),0)</f>
        <v/>
      </c>
      <c r="I8" s="86">
        <f>IFERROR((SUM(B8-D8)/D8),0)</f>
        <v/>
      </c>
      <c r="J8" s="310" t="n">
        <v>496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5893.95</v>
      </c>
      <c r="U8" s="9" t="n"/>
      <c r="W8" s="310" t="n">
        <v>35920.47</v>
      </c>
      <c r="X8" s="73">
        <f>W8/1.15</f>
        <v/>
      </c>
      <c r="Y8" s="238" t="n"/>
      <c r="Z8" s="310" t="n">
        <v>28691.79</v>
      </c>
      <c r="AA8" s="73">
        <f>SUM(Z8)/1.15</f>
        <v/>
      </c>
    </row>
    <row r="9" ht="15.6" customHeight="1">
      <c r="A9" s="12" t="inlineStr">
        <is>
          <t>Lynnwood</t>
        </is>
      </c>
      <c r="B9" t="n">
        <v>224112.06</v>
      </c>
      <c r="C9" s="310" t="n">
        <v>222599.19</v>
      </c>
      <c r="D9" s="310" t="n">
        <v>243010.12</v>
      </c>
      <c r="E9" s="77">
        <f>IFERROR((SUM(B9-C9)/C9),0)</f>
        <v/>
      </c>
      <c r="F9" s="310" t="n">
        <v>900602.25</v>
      </c>
      <c r="G9" s="310" t="n">
        <v>249265.48</v>
      </c>
      <c r="H9" s="467">
        <f>IFERROR((SUM(B9-G9)/G9),0)</f>
        <v/>
      </c>
      <c r="I9" s="86">
        <f>IFERROR((SUM(B9-D9)/D9),0)</f>
        <v/>
      </c>
      <c r="J9" s="310" t="n">
        <v>677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4045.5</v>
      </c>
      <c r="U9" s="26" t="n"/>
      <c r="W9" s="310" t="n">
        <v>28123</v>
      </c>
      <c r="X9" s="73">
        <f>W9/1.15</f>
        <v/>
      </c>
      <c r="Y9" s="238" t="n"/>
      <c r="Z9" s="310" t="n">
        <v>39149.75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456" t="n"/>
      <c r="D10" s="310" t="n">
        <v>191397.82</v>
      </c>
      <c r="E10" s="77">
        <f>IFERROR((SUM(B10-C10)/C10),0)</f>
        <v/>
      </c>
      <c r="F10" s="310" t="n"/>
      <c r="G10" s="310" t="n">
        <v>271344.55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73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t="n">
        <v>158678.04</v>
      </c>
      <c r="C11" s="310" t="n">
        <v>158992.33</v>
      </c>
      <c r="D11" s="310" t="n">
        <v>86713.33</v>
      </c>
      <c r="E11" s="77">
        <f>IFERROR((SUM(B11-C11)/C11),0)</f>
        <v/>
      </c>
      <c r="F11" s="310" t="n">
        <v>634093.22</v>
      </c>
      <c r="G11" s="310" t="n">
        <v>131075.06</v>
      </c>
      <c r="H11" s="467">
        <f>IFERROR((SUM(B11-G11)/G11),0)</f>
        <v/>
      </c>
      <c r="I11" s="86">
        <f>IFERROR((SUM(#REF!-D11)/D11),0)</f>
        <v/>
      </c>
      <c r="J11" s="310" t="n">
        <v>548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4213.5</v>
      </c>
      <c r="U11" s="26" t="n"/>
      <c r="W11" s="310" t="n">
        <v>57339.37</v>
      </c>
      <c r="X11" s="73">
        <f>W12/1.15</f>
        <v/>
      </c>
      <c r="Y11" s="238" t="n"/>
      <c r="Z11" s="310" t="n">
        <v>20406.14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t="n">
        <v>218816.35</v>
      </c>
      <c r="C12" s="310" t="n">
        <v>208196.26</v>
      </c>
      <c r="D12" s="310" t="n">
        <v>206751.49</v>
      </c>
      <c r="E12" s="77">
        <f>IFERROR((SUM(B12-C12)/C12),0)</f>
        <v/>
      </c>
      <c r="F12" s="310" t="n">
        <v>848876.03</v>
      </c>
      <c r="G12" s="310" t="n">
        <v>194877.73</v>
      </c>
      <c r="H12" s="467">
        <f>IFERROR((SUM(B12-#REF!)/#REF!),0)</f>
        <v/>
      </c>
      <c r="I12" s="86">
        <f>IFERROR((SUM(B12-D12)/D12),0)</f>
        <v/>
      </c>
      <c r="J12" s="310" t="n">
        <v>707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6789.95</v>
      </c>
      <c r="U12" s="9" t="n"/>
      <c r="W12" s="310" t="n">
        <v>38467.8</v>
      </c>
      <c r="X12" s="73">
        <f>W12/1.15</f>
        <v/>
      </c>
      <c r="Y12" s="238" t="n"/>
      <c r="Z12" s="310" t="n">
        <v>36242.44</v>
      </c>
      <c r="AA12" s="73">
        <f>SUM(Z12)/1.15</f>
        <v/>
      </c>
    </row>
    <row r="13" ht="15.6" customHeight="1">
      <c r="A13" s="12" t="inlineStr">
        <is>
          <t>Queenswood</t>
        </is>
      </c>
      <c r="B13" t="n">
        <v>164585.42</v>
      </c>
      <c r="C13" s="310" t="n">
        <v>161350.95</v>
      </c>
      <c r="D13" s="310" t="n"/>
      <c r="E13" s="77">
        <f>IFERROR((SUM(B13-C13)/C13),0)</f>
        <v/>
      </c>
      <c r="F13" s="310" t="n">
        <v>715246.35</v>
      </c>
      <c r="G13" s="310" t="n">
        <v>172711.42</v>
      </c>
      <c r="H13" s="467">
        <f>IFERROR((SUM(B13-G12)/G12),0)</f>
        <v/>
      </c>
      <c r="I13" s="86">
        <f>IFERROR((SUM(B13-D13)/D13),0)</f>
        <v/>
      </c>
      <c r="J13" s="310" t="n">
        <v>547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4462</v>
      </c>
      <c r="U13" s="9" t="n"/>
      <c r="W13" s="310" t="n">
        <v>26896.92</v>
      </c>
      <c r="X13" s="73">
        <f>W13/1.15</f>
        <v/>
      </c>
      <c r="Y13" s="238" t="n"/>
      <c r="Z13" s="310" t="n">
        <v>26263.25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t="n">
        <v>160577.61</v>
      </c>
      <c r="C14" s="310" t="n">
        <v>137911.5</v>
      </c>
      <c r="D14" s="310" t="n">
        <v>144600.03</v>
      </c>
      <c r="E14" s="77">
        <f>IFERROR((SUM(B14-C14)/C14),0)</f>
        <v/>
      </c>
      <c r="F14" s="310" t="n">
        <v>598565.95</v>
      </c>
      <c r="G14" s="310" t="n">
        <v>170567.98</v>
      </c>
      <c r="H14" s="467">
        <f>IFERROR((SUM(B14-G14)/G14),0)</f>
        <v/>
      </c>
      <c r="I14" s="86">
        <f>IFERROR((SUM(B14-D14)/D14),0)</f>
        <v/>
      </c>
      <c r="J14" s="310" t="n">
        <v>437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1684.8</v>
      </c>
      <c r="U14" s="26" t="n"/>
      <c r="W14" s="310" t="n">
        <v>52810.17</v>
      </c>
      <c r="X14" s="73">
        <f>W14/1.15</f>
        <v/>
      </c>
      <c r="Y14" s="238" t="n"/>
      <c r="Z14" s="310" t="n">
        <v>19926</v>
      </c>
      <c r="AA14" s="73">
        <f>SUM(Z14)/1.15</f>
        <v/>
      </c>
    </row>
    <row r="15" ht="15.6" customHeight="1">
      <c r="A15" s="12" t="inlineStr">
        <is>
          <t>Stellenbosch</t>
        </is>
      </c>
      <c r="B15" t="n">
        <v>139321.73</v>
      </c>
      <c r="C15" s="310" t="n">
        <v>147084.65</v>
      </c>
      <c r="D15" s="310" t="n">
        <v>152846.04</v>
      </c>
      <c r="E15" s="77">
        <f>IFERROR((SUM(B15-C15)/C15),0)</f>
        <v/>
      </c>
      <c r="F15" s="310" t="n">
        <v>563412.9</v>
      </c>
      <c r="G15" s="310" t="n">
        <v>131218.14</v>
      </c>
      <c r="H15" s="467">
        <f>IFERROR((SUM(B15-G15)/G15),0)</f>
        <v/>
      </c>
      <c r="I15" s="86">
        <f>IFERROR((SUM(B15-D15)/D15),0)</f>
        <v/>
      </c>
      <c r="J15" s="310" t="n">
        <v>440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4387.5</v>
      </c>
      <c r="U15" s="26" t="n"/>
      <c r="W15" s="310" t="n">
        <v>18893.07</v>
      </c>
      <c r="X15" s="73">
        <f>W15/1.15</f>
        <v/>
      </c>
      <c r="Y15" s="238" t="n"/>
      <c r="Z15" s="310" t="n">
        <v>22132.25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0.33203125" customWidth="1" min="12" max="12"/>
    <col width="9.44140625" customWidth="1" min="14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31.2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101" t="inlineStr">
        <is>
          <t>PROMO Weekly</t>
        </is>
      </c>
      <c r="M3" s="101" t="inlineStr">
        <is>
          <t>% To Covers</t>
        </is>
      </c>
      <c r="N3" s="101" t="inlineStr">
        <is>
          <t>Promo to Date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282242.64</v>
      </c>
      <c r="C5" s="310" t="n">
        <v>430839.24</v>
      </c>
      <c r="D5" s="310" t="n">
        <v>166877.21</v>
      </c>
      <c r="E5" s="77">
        <f>IFERROR((SUM(B5-C5)/C5),0)</f>
        <v/>
      </c>
      <c r="F5" s="310" t="n">
        <v>282242.64</v>
      </c>
      <c r="G5" s="310" t="n">
        <v>229606.86</v>
      </c>
      <c r="H5" s="467">
        <f>IFERROR((SUM(B5-G5)/G5),0)</f>
        <v/>
      </c>
      <c r="I5" s="86">
        <f>IFERROR((SUM(B5-D5)/D5),0)</f>
        <v/>
      </c>
      <c r="J5" s="310" t="n">
        <v>820</v>
      </c>
      <c r="K5" s="63">
        <f>IFERROR(B5/J5,0)</f>
        <v/>
      </c>
      <c r="L5" s="61" t="n">
        <v>10</v>
      </c>
      <c r="M5" s="28">
        <f>IFERROR(L5/J5,0)</f>
        <v/>
      </c>
      <c r="N5" s="46" t="n">
        <v>42</v>
      </c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2043.8</v>
      </c>
      <c r="U5" s="9" t="n"/>
      <c r="W5" s="311" t="n">
        <v>0</v>
      </c>
      <c r="X5" s="297">
        <f>W5/1.15</f>
        <v/>
      </c>
      <c r="Z5" s="310" t="n">
        <v>27477</v>
      </c>
      <c r="AA5" s="297">
        <f>SUM(Z5)/1.15</f>
        <v/>
      </c>
    </row>
    <row r="6" ht="15.6" customHeight="1">
      <c r="A6" s="445" t="inlineStr">
        <is>
          <t>Eagles Landing</t>
        </is>
      </c>
      <c r="B6" s="310" t="n">
        <v>144807.55</v>
      </c>
      <c r="C6" s="310" t="n">
        <v>263890.23</v>
      </c>
      <c r="D6" s="310" t="n">
        <v>317233.92</v>
      </c>
      <c r="E6" s="77">
        <f>IFERROR((SUM(B6-C6)/C6),0)</f>
        <v/>
      </c>
      <c r="F6" s="310" t="n">
        <v>144807.55</v>
      </c>
      <c r="G6" s="310" t="n">
        <v>251631.67</v>
      </c>
      <c r="H6" s="467">
        <f>IFERROR((SUM(B6-G6)/G6),0)</f>
        <v/>
      </c>
      <c r="I6" s="86">
        <f>IFERROR((SUM(B6-D6)/D6),0)</f>
        <v/>
      </c>
      <c r="J6" s="310" t="n">
        <v>440</v>
      </c>
      <c r="K6" s="63">
        <f>IFERROR(B6/J6,0)</f>
        <v/>
      </c>
      <c r="L6" s="61" t="n">
        <v>10</v>
      </c>
      <c r="M6" s="28">
        <f>IFERROR(L6/J6,0)</f>
        <v/>
      </c>
      <c r="N6" s="46" t="n">
        <v>42</v>
      </c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4821.95</v>
      </c>
      <c r="U6" s="26" t="n"/>
      <c r="W6" s="310" t="n">
        <v>31864.54</v>
      </c>
      <c r="X6" s="73">
        <f>W6/1.15</f>
        <v/>
      </c>
      <c r="Y6" s="238" t="n"/>
      <c r="Z6" s="310" t="n">
        <v>20134.5</v>
      </c>
      <c r="AA6" s="73">
        <f>SUM(Z6)/1.15</f>
        <v/>
      </c>
    </row>
    <row r="7" ht="16.5" customHeight="1">
      <c r="A7" s="445" t="inlineStr">
        <is>
          <t>Irene Village</t>
        </is>
      </c>
      <c r="B7" s="310" t="n">
        <v>205941.29</v>
      </c>
      <c r="C7" s="310" t="n">
        <v>297212.74</v>
      </c>
      <c r="D7" s="310" t="n">
        <v>254835.6</v>
      </c>
      <c r="E7" s="77">
        <f>IFERROR((SUM(B7-C7)/C7),0)</f>
        <v/>
      </c>
      <c r="F7" s="310" t="n">
        <v>205941.29</v>
      </c>
      <c r="G7" s="310" t="n">
        <v>273957.16</v>
      </c>
      <c r="H7" s="467">
        <f>IFERROR((SUM(B7-G7)/G7),0)</f>
        <v/>
      </c>
      <c r="I7" s="86">
        <f>IFERROR((SUM(B7-D7)/D7),0)</f>
        <v/>
      </c>
      <c r="J7" s="310" t="n">
        <v>568</v>
      </c>
      <c r="K7" s="63">
        <f>IFERROR(B7/J7,0)</f>
        <v/>
      </c>
      <c r="L7" s="61" t="n">
        <v>4</v>
      </c>
      <c r="M7" s="28">
        <f>IFERROR(L7/J7,0)</f>
        <v/>
      </c>
      <c r="N7" s="46" t="n">
        <v>24</v>
      </c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5506.65</v>
      </c>
      <c r="U7" s="26" t="n"/>
      <c r="W7" s="310" t="n">
        <v>40334</v>
      </c>
      <c r="X7" s="73">
        <f>W7/1.15</f>
        <v/>
      </c>
      <c r="Y7" s="238" t="n"/>
      <c r="Z7" s="310" t="n">
        <v>2817.5</v>
      </c>
      <c r="AA7" s="73">
        <f>SUM(Z7)/1.15</f>
        <v/>
      </c>
    </row>
    <row r="8" ht="15.6" customHeight="1">
      <c r="A8" s="12" t="inlineStr">
        <is>
          <t>Kyalami Corner</t>
        </is>
      </c>
      <c r="B8" s="310" t="n">
        <v>128699.4</v>
      </c>
      <c r="C8" s="310" t="n">
        <v>143917.61</v>
      </c>
      <c r="D8" s="310" t="n">
        <v>125945.97</v>
      </c>
      <c r="E8" s="77">
        <f>IFERROR((SUM(B8-C8)/C8),0)</f>
        <v/>
      </c>
      <c r="F8" s="310" t="n">
        <v>128699.4</v>
      </c>
      <c r="G8" s="310" t="n">
        <v>163958.02</v>
      </c>
      <c r="H8" s="467">
        <f>IFERROR((SUM(B8-G8)/G8),0)</f>
        <v/>
      </c>
      <c r="I8" s="86">
        <f>IFERROR((SUM(B8-D8)/D8),0)</f>
        <v/>
      </c>
      <c r="J8" s="310" t="n">
        <v>413</v>
      </c>
      <c r="K8" s="63">
        <f>IFERROR(B8/J8,0)</f>
        <v/>
      </c>
      <c r="L8" s="61" t="n">
        <v>11</v>
      </c>
      <c r="M8" s="28">
        <f>IFERROR(L8/J8,0)</f>
        <v/>
      </c>
      <c r="N8" s="46" t="n">
        <v>25</v>
      </c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s="310" t="n">
        <v>3378</v>
      </c>
      <c r="U8" s="9" t="n"/>
      <c r="W8" s="310" t="n">
        <v>26364.14</v>
      </c>
      <c r="X8" s="73">
        <f>W8/1.15</f>
        <v/>
      </c>
      <c r="Y8" s="238" t="n"/>
      <c r="Z8" s="310" t="n">
        <v>24849.04</v>
      </c>
      <c r="AA8" s="73">
        <f>SUM(Z8)/1.15</f>
        <v/>
      </c>
    </row>
    <row r="9" ht="15.6" customHeight="1">
      <c r="A9" s="12" t="inlineStr">
        <is>
          <t>Lynnwood</t>
        </is>
      </c>
      <c r="B9" s="310" t="n">
        <v>175734.13</v>
      </c>
      <c r="C9" s="310" t="n">
        <v>224112.06</v>
      </c>
      <c r="D9" s="310" t="n">
        <v>243010.12</v>
      </c>
      <c r="E9" s="77">
        <f>IFERROR((SUM(B9-C9)/C9),0)</f>
        <v/>
      </c>
      <c r="F9" s="310" t="n">
        <v>175734.13</v>
      </c>
      <c r="G9" s="310" t="n">
        <v>220292.82</v>
      </c>
      <c r="H9" s="467">
        <f>IFERROR((SUM(B9-G9)/G9),0)</f>
        <v/>
      </c>
      <c r="I9" s="86">
        <f>IFERROR((SUM(B9-D9)/D9),0)</f>
        <v/>
      </c>
      <c r="J9" s="310" t="n">
        <v>581</v>
      </c>
      <c r="K9" s="63">
        <f>IFERROR(B9/J9,0)</f>
        <v/>
      </c>
      <c r="L9" s="61" t="n">
        <v>15</v>
      </c>
      <c r="M9" s="28">
        <f>IFERROR(L9/J9,0)</f>
        <v/>
      </c>
      <c r="N9" s="46" t="n">
        <v>48</v>
      </c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4615</v>
      </c>
      <c r="U9" s="26" t="n"/>
      <c r="W9" s="310" t="n">
        <v>25775.62</v>
      </c>
      <c r="X9" s="73">
        <f>W9/1.15</f>
        <v/>
      </c>
      <c r="Y9" s="238" t="n"/>
      <c r="Z9" s="310" t="n">
        <v>35463.73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263550.87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>
        <v>1</v>
      </c>
      <c r="M10" s="28">
        <f>IFERROR(L10/J11,0)</f>
        <v/>
      </c>
      <c r="N10" s="46" t="n">
        <v>15</v>
      </c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45" t="inlineStr">
        <is>
          <t>Melville</t>
        </is>
      </c>
      <c r="B11" s="310" t="n">
        <v>130160.48</v>
      </c>
      <c r="C11" s="310" t="n">
        <v>158678.04</v>
      </c>
      <c r="D11" s="310" t="n">
        <v>86713.33</v>
      </c>
      <c r="E11" s="77">
        <f>IFERROR((SUM(B11-C11)/C11),0)</f>
        <v/>
      </c>
      <c r="F11" s="310" t="n">
        <v>130160.48</v>
      </c>
      <c r="G11" s="310" t="n">
        <v>137319.82</v>
      </c>
      <c r="H11" s="467">
        <f>IFERROR((SUM(B11-G11)/G11),0)</f>
        <v/>
      </c>
      <c r="I11" s="86">
        <f>IFERROR((SUM(#REF!-D11)/D11),0)</f>
        <v/>
      </c>
      <c r="J11" s="310" t="n">
        <v>420</v>
      </c>
      <c r="K11" s="63">
        <f>IFERROR(B12/J12,0)</f>
        <v/>
      </c>
      <c r="L11" s="61" t="n">
        <v>3</v>
      </c>
      <c r="M11" s="28">
        <f>IFERROR(L11/J12,0)</f>
        <v/>
      </c>
      <c r="N11" s="46" t="n">
        <v>22</v>
      </c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3571.5</v>
      </c>
      <c r="U11" s="26" t="n"/>
      <c r="W11" s="310" t="n">
        <v>41664.12</v>
      </c>
      <c r="X11" s="73">
        <f>W12/1.15</f>
        <v/>
      </c>
      <c r="Y11" s="238" t="n"/>
      <c r="Z11" s="310" t="n">
        <v>26759.04</v>
      </c>
      <c r="AA11" s="73">
        <f>SUM(Z11)/1.15</f>
        <v/>
      </c>
    </row>
    <row r="12" ht="15.6" customHeight="1">
      <c r="A12" s="12" t="inlineStr">
        <is>
          <t>Cambridge Crossing</t>
        </is>
      </c>
      <c r="B12" s="310" t="n">
        <v>186722.27</v>
      </c>
      <c r="C12" s="310" t="n">
        <v>218816.35</v>
      </c>
      <c r="D12" s="310" t="n">
        <v>206751.49</v>
      </c>
      <c r="E12" s="77">
        <f>IFERROR((SUM(B12-C12)/C12),0)</f>
        <v/>
      </c>
      <c r="F12" s="310" t="n">
        <v>186722.27</v>
      </c>
      <c r="G12" s="310" t="n">
        <v>202700.94</v>
      </c>
      <c r="H12" s="467">
        <f>IFERROR((SUM(B12-#REF!)/#REF!),0)</f>
        <v/>
      </c>
      <c r="I12" s="86">
        <f>IFERROR((SUM(B12-D12)/D12),0)</f>
        <v/>
      </c>
      <c r="J12" s="310" t="n">
        <v>633</v>
      </c>
      <c r="K12" s="63">
        <f>IFERROR(B12/J12,0)</f>
        <v/>
      </c>
      <c r="L12" s="61" t="n">
        <v>7</v>
      </c>
      <c r="M12" s="28">
        <f>IFERROR(L12/J12,0)</f>
        <v/>
      </c>
      <c r="N12" s="46" t="n">
        <v>17</v>
      </c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3849.9</v>
      </c>
      <c r="U12" s="9" t="n"/>
      <c r="W12" s="310" t="n">
        <v>22001.7</v>
      </c>
      <c r="X12" s="73">
        <f>W12/1.15</f>
        <v/>
      </c>
      <c r="Y12" s="238" t="n"/>
      <c r="Z12" s="310" t="n">
        <v>46764.28</v>
      </c>
      <c r="AA12" s="73">
        <f>SUM(Z12)/1.15</f>
        <v/>
      </c>
    </row>
    <row r="13" ht="15.6" customHeight="1">
      <c r="A13" s="12" t="inlineStr">
        <is>
          <t>Queenswood</t>
        </is>
      </c>
      <c r="B13" s="310" t="n">
        <v>151512.03</v>
      </c>
      <c r="C13" s="310" t="n">
        <v>164585.42</v>
      </c>
      <c r="D13" s="310" t="n"/>
      <c r="E13" s="77">
        <f>IFERROR((SUM(B13-C13)/C13),0)</f>
        <v/>
      </c>
      <c r="F13" s="310" t="n">
        <v>151512.03</v>
      </c>
      <c r="G13" s="310" t="n">
        <v>196802.72</v>
      </c>
      <c r="H13" s="467">
        <f>IFERROR((SUM(B13-G12)/G12),0)</f>
        <v/>
      </c>
      <c r="I13" s="86">
        <f>IFERROR((SUM(B13-D13)/D13),0)</f>
        <v/>
      </c>
      <c r="J13" s="310" t="n">
        <v>539</v>
      </c>
      <c r="K13" s="63">
        <f>IFERROR(B13/J13,0)</f>
        <v/>
      </c>
      <c r="L13" s="61" t="n">
        <v>13</v>
      </c>
      <c r="M13" s="28">
        <f>IFERROR(L13/J13,0)</f>
        <v/>
      </c>
      <c r="N13" s="46" t="n">
        <v>37</v>
      </c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5041</v>
      </c>
      <c r="U13" s="9" t="n"/>
      <c r="W13" s="310" t="n">
        <v>21603.74</v>
      </c>
      <c r="X13" s="73">
        <f>W13/1.15</f>
        <v/>
      </c>
      <c r="Y13" s="238" t="n"/>
      <c r="Z13" s="310" t="n">
        <v>21463.5</v>
      </c>
      <c r="AA13" s="73">
        <f>SUM(Z13)/1.15</f>
        <v/>
      </c>
    </row>
    <row r="14" ht="15.6" customHeight="1">
      <c r="A14" s="445" t="inlineStr">
        <is>
          <t xml:space="preserve">Waterkloof </t>
        </is>
      </c>
      <c r="B14" s="310" t="n">
        <v>133343.68</v>
      </c>
      <c r="C14" s="310" t="n">
        <v>160577.61</v>
      </c>
      <c r="D14" s="310" t="n">
        <v>144600.03</v>
      </c>
      <c r="E14" s="77">
        <f>IFERROR((SUM(B14-C14)/C14),0)</f>
        <v/>
      </c>
      <c r="F14" s="310" t="n">
        <v>133343.68</v>
      </c>
      <c r="G14" s="310" t="n">
        <v>186729.06</v>
      </c>
      <c r="H14" s="467">
        <f>IFERROR((SUM(B14-G14)/G14),0)</f>
        <v/>
      </c>
      <c r="I14" s="86">
        <f>IFERROR((SUM(B14-D14)/D14),0)</f>
        <v/>
      </c>
      <c r="J14" s="310" t="n">
        <v>355</v>
      </c>
      <c r="K14" s="63">
        <f>IFERROR(B14/J14,0)</f>
        <v/>
      </c>
      <c r="L14" s="61" t="n">
        <v>11</v>
      </c>
      <c r="M14" s="28">
        <f>IFERROR(L14/J14,0)</f>
        <v/>
      </c>
      <c r="N14" s="46" t="n">
        <v>41</v>
      </c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3912.6</v>
      </c>
      <c r="U14" s="26" t="n"/>
      <c r="W14" s="310" t="n">
        <v>35546.06</v>
      </c>
      <c r="X14" s="73">
        <f>W14/1.15</f>
        <v/>
      </c>
      <c r="Y14" s="238" t="n"/>
      <c r="Z14" s="310" t="n">
        <v>21951.5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148004.61</v>
      </c>
      <c r="C15" s="310" t="n">
        <v>139321.73</v>
      </c>
      <c r="D15" s="310" t="n">
        <v>152846.04</v>
      </c>
      <c r="E15" s="77">
        <f>IFERROR((SUM(B15-C15)/C15),0)</f>
        <v/>
      </c>
      <c r="F15" s="310" t="n">
        <v>148004.61</v>
      </c>
      <c r="G15" s="310" t="n">
        <v>141874.21</v>
      </c>
      <c r="H15" s="467">
        <f>IFERROR((SUM(B15-G15)/G15),0)</f>
        <v/>
      </c>
      <c r="I15" s="86">
        <f>IFERROR((SUM(B15-D15)/D15),0)</f>
        <v/>
      </c>
      <c r="J15" s="310" t="n">
        <v>502</v>
      </c>
      <c r="K15" s="63">
        <f>IFERROR(B15/J15,0)</f>
        <v/>
      </c>
      <c r="L15" s="61" t="n">
        <v>6</v>
      </c>
      <c r="M15" s="28">
        <f>IFERROR(L15/J15,0)</f>
        <v/>
      </c>
      <c r="N15" s="46" t="n">
        <v>27</v>
      </c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4732.5</v>
      </c>
      <c r="U15" s="26" t="n"/>
      <c r="W15" s="310" t="n">
        <v>16281.01</v>
      </c>
      <c r="X15" s="73">
        <f>W15/1.15</f>
        <v/>
      </c>
      <c r="Y15" s="238" t="n"/>
      <c r="Z15" s="310" t="n">
        <v>29384.95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baseColWidth="8" defaultRowHeight="14.4"/>
  <cols>
    <col width="23" customWidth="1" min="1" max="1"/>
    <col width="22.441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6.6640625" customWidth="1" min="12" max="12"/>
    <col width="13.109375" customWidth="1" min="13" max="14"/>
    <col width="10.5546875" bestFit="1" customWidth="1" min="15" max="15"/>
    <col width="18.5546875" customWidth="1" min="16" max="16"/>
    <col width="11.6640625" bestFit="1" customWidth="1" min="17" max="17"/>
    <col width="13.6640625" customWidth="1" min="18" max="18"/>
    <col width="13.44140625" customWidth="1" min="19" max="19"/>
    <col width="17.33203125" customWidth="1" min="20" max="20"/>
    <col width="16" customWidth="1" min="23" max="23"/>
    <col width="16" customWidth="1" style="296" min="24" max="24"/>
    <col width="17.33203125" customWidth="1" min="26" max="26"/>
    <col width="17.33203125" customWidth="1" style="296" min="27" max="27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inlineStr">
        <is>
          <t>.</t>
        </is>
      </c>
      <c r="O1" s="7" t="n"/>
      <c r="P1" s="7" t="inlineStr">
        <is>
          <t>.</t>
        </is>
      </c>
      <c r="Q1" s="7" t="n"/>
      <c r="R1" s="7" t="n"/>
      <c r="S1" s="7" t="n"/>
      <c r="T1" s="81" t="n"/>
      <c r="U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81" t="n"/>
      <c r="U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1" t="inlineStr">
        <is>
          <t>Mac &amp; Rib</t>
        </is>
      </c>
      <c r="M3" s="101" t="inlineStr">
        <is>
          <t>% To Covers</t>
        </is>
      </c>
      <c r="N3" s="471" t="inlineStr">
        <is>
          <t>Mac &amp; Rib Monthly</t>
        </is>
      </c>
      <c r="O3" s="101" t="inlineStr">
        <is>
          <t>% To Date</t>
        </is>
      </c>
      <c r="P3" s="101" t="inlineStr">
        <is>
          <t>Uber / Mr D Deliveries</t>
        </is>
      </c>
      <c r="Q3" s="101" t="inlineStr">
        <is>
          <t>% To Date</t>
        </is>
      </c>
      <c r="R3" s="101" t="inlineStr">
        <is>
          <t>WhatsApp</t>
        </is>
      </c>
      <c r="S3" s="101" t="inlineStr">
        <is>
          <t>WhatsApp % of TO</t>
        </is>
      </c>
      <c r="T3" s="453" t="inlineStr">
        <is>
          <t>Non-Banking</t>
        </is>
      </c>
      <c r="U3" s="407" t="n"/>
      <c r="W3" s="453" t="inlineStr">
        <is>
          <t>Delivery</t>
        </is>
      </c>
      <c r="X3" s="312" t="n"/>
      <c r="Z3" s="453" t="inlineStr">
        <is>
          <t>Whatsapp /Takeout</t>
        </is>
      </c>
      <c r="AA3" s="312" t="n"/>
    </row>
    <row r="4" ht="15.6" customHeight="1">
      <c r="A4" s="3" t="inlineStr">
        <is>
          <t>GROUP TOTAL</t>
        </is>
      </c>
      <c r="B4" s="98">
        <f>SUM(B5:B15)</f>
        <v/>
      </c>
      <c r="C4" s="98">
        <f>SUM(C5:C15)</f>
        <v/>
      </c>
      <c r="D4" s="98">
        <f>SUM(D5:D15)</f>
        <v/>
      </c>
      <c r="E4" s="436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38">
        <f>AVERAGE(K5:K15)</f>
        <v/>
      </c>
      <c r="L4" s="439">
        <f>SUM(L5:L15)</f>
        <v/>
      </c>
      <c r="M4" s="440">
        <f>IFERROR(L4/J4,0)</f>
        <v/>
      </c>
      <c r="N4" s="441">
        <f>SUM(N7:N15)</f>
        <v/>
      </c>
      <c r="O4" s="442">
        <f>IFERROR(N4/SUM(J4),0)</f>
        <v/>
      </c>
      <c r="P4" s="443">
        <f>SUM(P5:P15)</f>
        <v/>
      </c>
      <c r="Q4" s="442">
        <f>SUM(P4/B4)</f>
        <v/>
      </c>
      <c r="R4" s="443">
        <f>SUM(R5:R15)</f>
        <v/>
      </c>
      <c r="S4" s="442">
        <f>SUM(R4/B4)</f>
        <v/>
      </c>
      <c r="T4" s="444">
        <f>SUM(T5:T15)</f>
        <v/>
      </c>
      <c r="U4" s="24" t="n"/>
      <c r="W4" s="311" t="n"/>
      <c r="X4" s="312" t="n"/>
      <c r="Z4" s="311" t="n"/>
      <c r="AA4" s="312" t="n"/>
    </row>
    <row r="5" ht="15.6" customHeight="1">
      <c r="A5" s="12" t="inlineStr">
        <is>
          <t>Hartenbos</t>
        </is>
      </c>
      <c r="B5" s="310" t="n">
        <v>235264.63</v>
      </c>
      <c r="C5" s="310" t="n">
        <v>282242.64</v>
      </c>
      <c r="D5" s="310" t="n">
        <v>166877.21</v>
      </c>
      <c r="E5" s="77">
        <f>IFERROR((SUM(B5-C5)/C5),0)</f>
        <v/>
      </c>
      <c r="F5" s="310" t="n">
        <v>517507.27</v>
      </c>
      <c r="G5" s="310" t="n">
        <v>189611.28</v>
      </c>
      <c r="H5" s="467">
        <f>IFERROR((SUM(B5-G5)/G5),0)</f>
        <v/>
      </c>
      <c r="I5" s="86">
        <f>IFERROR((SUM(B5-D5)/D5),0)</f>
        <v/>
      </c>
      <c r="J5" s="310" t="n">
        <v>632</v>
      </c>
      <c r="K5" s="63">
        <f>IFERROR(B5/J5,0)</f>
        <v/>
      </c>
      <c r="L5" t="n">
        <v>194762.55</v>
      </c>
      <c r="M5" s="28">
        <f>IFERROR(L5/J5,0)</f>
        <v/>
      </c>
      <c r="N5" s="46" t="n"/>
      <c r="O5" s="89">
        <f>IFERROR(N5/SUM(J5),0)</f>
        <v/>
      </c>
      <c r="P5" s="260">
        <f>SUM(X5+AA5)</f>
        <v/>
      </c>
      <c r="Q5" s="89">
        <f>SUM(P5/B5)</f>
        <v/>
      </c>
      <c r="R5" s="260">
        <f>SUM(AA5)</f>
        <v/>
      </c>
      <c r="S5" s="89">
        <f>SUM(R5/B5)</f>
        <v/>
      </c>
      <c r="T5" s="310" t="n">
        <v>2400.8</v>
      </c>
      <c r="U5" s="9" t="n"/>
      <c r="W5" s="297">
        <f>V5/1.15</f>
        <v/>
      </c>
      <c r="X5" s="297">
        <f>W5/1.15</f>
        <v/>
      </c>
      <c r="Z5" s="310" t="n">
        <v>22568</v>
      </c>
      <c r="AA5" s="297">
        <f>SUM(Z5)/1.15</f>
        <v/>
      </c>
    </row>
    <row r="6" ht="15.6" customHeight="1">
      <c r="A6" s="469" t="inlineStr">
        <is>
          <t>Eagles Landing</t>
        </is>
      </c>
      <c r="B6" s="310" t="n">
        <v>260508.36</v>
      </c>
      <c r="C6" s="310" t="n">
        <v>144807.55</v>
      </c>
      <c r="D6" s="310" t="n">
        <v>317233.92</v>
      </c>
      <c r="E6" s="77">
        <f>IFERROR((SUM(B6-C6)/C6),0)</f>
        <v/>
      </c>
      <c r="F6" s="310" t="n">
        <v>473624.88</v>
      </c>
      <c r="G6" s="310" t="n">
        <v>226756.37</v>
      </c>
      <c r="H6" s="467">
        <f>IFERROR((SUM(B6-G6)/G6),0)</f>
        <v/>
      </c>
      <c r="I6" s="86">
        <f>IFERROR((SUM(B6-D6)/D6),0)</f>
        <v/>
      </c>
      <c r="J6" s="310" t="n">
        <v>695</v>
      </c>
      <c r="K6" s="63">
        <f>IFERROR(B6/J6,0)</f>
        <v/>
      </c>
      <c r="L6" s="61" t="n"/>
      <c r="M6" s="28">
        <f>IFERROR(L6/J6,0)</f>
        <v/>
      </c>
      <c r="N6" s="46" t="n"/>
      <c r="O6" s="89">
        <f>IFERROR(N6/SUM(J6),0)</f>
        <v/>
      </c>
      <c r="P6" s="260">
        <f>SUM(X6+AA6)</f>
        <v/>
      </c>
      <c r="Q6" s="89">
        <f>SUM(P6/B6)</f>
        <v/>
      </c>
      <c r="R6" s="260">
        <f>SUM(AA6)</f>
        <v/>
      </c>
      <c r="S6" s="89">
        <f>SUM(R6/B6)</f>
        <v/>
      </c>
      <c r="T6" s="310" t="n">
        <v>10071.15</v>
      </c>
      <c r="U6" s="26" t="n"/>
      <c r="W6" s="310" t="n">
        <v>37694.1</v>
      </c>
      <c r="X6" s="73">
        <f>W6/1.15</f>
        <v/>
      </c>
      <c r="Y6" s="238" t="n"/>
      <c r="Z6" s="310" t="n">
        <v>28698</v>
      </c>
      <c r="AA6" s="73">
        <f>SUM(Z6)/1.15</f>
        <v/>
      </c>
    </row>
    <row r="7" ht="16.5" customHeight="1">
      <c r="A7" s="469" t="inlineStr">
        <is>
          <t>Irene Village</t>
        </is>
      </c>
      <c r="B7" s="310" t="n">
        <v>260704.58</v>
      </c>
      <c r="C7" s="310" t="n">
        <v>205941.29</v>
      </c>
      <c r="D7" s="310" t="n">
        <v>254835.6</v>
      </c>
      <c r="E7" s="77">
        <f>IFERROR((SUM(B7-C7)/C7),0)</f>
        <v/>
      </c>
      <c r="F7" s="310" t="n">
        <v>501386.92</v>
      </c>
      <c r="G7" s="310" t="n">
        <v>234970.62</v>
      </c>
      <c r="H7" s="467">
        <f>IFERROR((SUM(B7-G7)/G7),0)</f>
        <v/>
      </c>
      <c r="I7" s="86">
        <f>IFERROR((SUM(B7-D7)/D7),0)</f>
        <v/>
      </c>
      <c r="J7" s="310" t="n">
        <v>658</v>
      </c>
      <c r="K7" s="63">
        <f>IFERROR(B7/J7,0)</f>
        <v/>
      </c>
      <c r="L7" s="61" t="n"/>
      <c r="M7" s="28">
        <f>IFERROR(L7/J7,0)</f>
        <v/>
      </c>
      <c r="N7" s="46" t="n"/>
      <c r="O7" s="89">
        <f>IFERROR(N7/SUM(J7),0)</f>
        <v/>
      </c>
      <c r="P7" s="260">
        <f>SUM(X7+AA7)</f>
        <v/>
      </c>
      <c r="Q7" s="89">
        <f>SUM(P7/B7)</f>
        <v/>
      </c>
      <c r="R7" s="260">
        <f>SUM(AA7)</f>
        <v/>
      </c>
      <c r="S7" s="89">
        <f>SUM(R7/B7)</f>
        <v/>
      </c>
      <c r="T7" s="310" t="n">
        <v>4846.25</v>
      </c>
      <c r="U7" s="26" t="n"/>
      <c r="W7" s="310" t="n">
        <v>43943</v>
      </c>
      <c r="X7" s="73">
        <f>W7/1.15</f>
        <v/>
      </c>
      <c r="Y7" s="238" t="n"/>
      <c r="Z7" s="310" t="n">
        <v>3564</v>
      </c>
      <c r="AA7" s="73">
        <f>SUM(Z7)/1.15</f>
        <v/>
      </c>
    </row>
    <row r="8" ht="15.6" customHeight="1">
      <c r="A8" s="470" t="inlineStr">
        <is>
          <t>Kyalami Corner</t>
        </is>
      </c>
      <c r="B8" s="238" t="n">
        <v>146820.56</v>
      </c>
      <c r="C8" s="310" t="n">
        <v>128699.4</v>
      </c>
      <c r="D8" s="310" t="n">
        <v>125945.97</v>
      </c>
      <c r="E8" s="77">
        <f>IFERROR((SUM(B8-C8)/C8),0)</f>
        <v/>
      </c>
      <c r="F8" s="310" t="n">
        <v>292916.03</v>
      </c>
      <c r="G8" s="310" t="n">
        <v>133107.02</v>
      </c>
      <c r="H8" s="467">
        <f>IFERROR((SUM(B8-G8)/G8),0)</f>
        <v/>
      </c>
      <c r="I8" s="86">
        <f>IFERROR((SUM(B8-D8)/D8),0)</f>
        <v/>
      </c>
      <c r="J8" t="n">
        <v>493</v>
      </c>
      <c r="K8" s="63">
        <f>IFERROR(B8/J8,0)</f>
        <v/>
      </c>
      <c r="L8" s="61" t="n"/>
      <c r="M8" s="28">
        <f>IFERROR(L8/J8,0)</f>
        <v/>
      </c>
      <c r="N8" s="46" t="n"/>
      <c r="O8" s="89">
        <f>IFERROR(N8/SUM(J8),0)</f>
        <v/>
      </c>
      <c r="P8" s="260">
        <f>SUM(X8+AA8)</f>
        <v/>
      </c>
      <c r="Q8" s="89">
        <f>SUM(P8/B8)</f>
        <v/>
      </c>
      <c r="R8" s="260">
        <f>SUM(AA8)</f>
        <v/>
      </c>
      <c r="S8" s="89">
        <f>SUM(R8/B8)</f>
        <v/>
      </c>
      <c r="T8" t="n">
        <v>5159</v>
      </c>
      <c r="U8" s="9" t="n"/>
      <c r="W8" t="n">
        <v>35906.89</v>
      </c>
      <c r="X8" s="73">
        <f>W8/1.15</f>
        <v/>
      </c>
      <c r="Y8" s="238" t="n"/>
      <c r="Z8" t="n">
        <v>34520.15</v>
      </c>
      <c r="AA8" s="73">
        <f>SUM(Z8)/1.15</f>
        <v/>
      </c>
    </row>
    <row r="9" ht="15.6" customHeight="1">
      <c r="A9" s="470" t="inlineStr">
        <is>
          <t>Lynnwood</t>
        </is>
      </c>
      <c r="B9" s="310" t="n">
        <v>254960.91</v>
      </c>
      <c r="C9" s="310" t="n">
        <v>175734.13</v>
      </c>
      <c r="D9" s="310" t="n">
        <v>243010.12</v>
      </c>
      <c r="E9" s="77">
        <f>IFERROR((SUM(B9-C9)/C9),0)</f>
        <v/>
      </c>
      <c r="F9" s="310" t="n">
        <v>455266.4</v>
      </c>
      <c r="G9" s="310" t="n">
        <v>208872.71</v>
      </c>
      <c r="H9" s="467">
        <f>IFERROR((SUM(B9-G9)/G9),0)</f>
        <v/>
      </c>
      <c r="I9" s="86">
        <f>IFERROR((SUM(B9-D9)/D9),0)</f>
        <v/>
      </c>
      <c r="J9" s="310" t="n">
        <v>723</v>
      </c>
      <c r="K9" s="63">
        <f>IFERROR(B9/J9,0)</f>
        <v/>
      </c>
      <c r="L9" s="61" t="n"/>
      <c r="M9" s="28">
        <f>IFERROR(L9/J9,0)</f>
        <v/>
      </c>
      <c r="N9" s="46" t="n"/>
      <c r="O9" s="89">
        <f>IFERROR(N9/SUM(J9),0)</f>
        <v/>
      </c>
      <c r="P9" s="260">
        <f>SUM(X9+AA9)</f>
        <v/>
      </c>
      <c r="Q9" s="89">
        <f>SUM(P9/B9)</f>
        <v/>
      </c>
      <c r="R9" s="260">
        <f>SUM(AA9)</f>
        <v/>
      </c>
      <c r="S9" s="89">
        <f>SUM(R9/B9)</f>
        <v/>
      </c>
      <c r="T9" s="310" t="n">
        <v>4636</v>
      </c>
      <c r="U9" s="26" t="n"/>
      <c r="W9" s="310" t="n">
        <v>32655.5</v>
      </c>
      <c r="X9" s="73">
        <f>W9/1.15</f>
        <v/>
      </c>
      <c r="Y9" s="238" t="n"/>
      <c r="Z9" s="310" t="n">
        <v>44547.88</v>
      </c>
      <c r="AA9" s="73">
        <f>SUM(Z9)/1.15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77">
        <f>IFERROR((SUM(B10-C10)/C10),0)</f>
        <v/>
      </c>
      <c r="F10" s="310" t="n"/>
      <c r="G10" s="310" t="n">
        <v>214788.28</v>
      </c>
      <c r="H10" s="467">
        <f>IFERROR((SUM(B10-G10)/G10),0)</f>
        <v/>
      </c>
      <c r="I10" s="86">
        <f>IFERROR((SUM(B11-D10)/D10),0)</f>
        <v/>
      </c>
      <c r="J10" s="310" t="n"/>
      <c r="K10" s="63">
        <f>IFERROR(B11/J11,0)</f>
        <v/>
      </c>
      <c r="L10" s="61" t="n"/>
      <c r="M10" s="28">
        <f>IFERROR(L10/J11,0)</f>
        <v/>
      </c>
      <c r="N10" s="46" t="n"/>
      <c r="O10" s="89">
        <f>IFERROR(N10/SUM(J11),0)</f>
        <v/>
      </c>
      <c r="P10" s="260">
        <f>SUM(X10+AA10)</f>
        <v/>
      </c>
      <c r="Q10" s="89">
        <f>SUM(P10/B11)</f>
        <v/>
      </c>
      <c r="R10" s="260">
        <f>SUM(AA10)</f>
        <v/>
      </c>
      <c r="S10" s="89">
        <f>SUM(R10/B11)</f>
        <v/>
      </c>
      <c r="T10" s="310" t="n"/>
      <c r="U10" s="26" t="n"/>
      <c r="W10" s="310" t="n"/>
      <c r="X10" s="73">
        <f>W11/1.15</f>
        <v/>
      </c>
      <c r="Y10" s="238" t="n"/>
      <c r="Z10" s="310" t="n"/>
      <c r="AA10" s="73">
        <f>SUM(Z10)/1.15</f>
        <v/>
      </c>
    </row>
    <row r="11" ht="15.6" customHeight="1">
      <c r="A11" s="469" t="inlineStr">
        <is>
          <t>Melville</t>
        </is>
      </c>
      <c r="B11" s="310" t="n">
        <v>151374.37</v>
      </c>
      <c r="C11" s="310" t="n">
        <v>130160.48</v>
      </c>
      <c r="D11" s="310" t="n">
        <v>86713.33</v>
      </c>
      <c r="E11" s="77">
        <f>IFERROR((SUM(B11-C11)/C11),0)</f>
        <v/>
      </c>
      <c r="F11" s="310" t="n">
        <v>303732.39</v>
      </c>
      <c r="G11" s="310" t="n">
        <v>117099.82</v>
      </c>
      <c r="H11" s="467">
        <f>IFERROR((SUM(B11-G11)/G11),0)</f>
        <v/>
      </c>
      <c r="I11" s="86">
        <f>IFERROR((SUM(#REF!-D11)/D11),0)</f>
        <v/>
      </c>
      <c r="J11" s="310" t="n">
        <v>482</v>
      </c>
      <c r="K11" s="63">
        <f>IFERROR(B12/J12,0)</f>
        <v/>
      </c>
      <c r="L11" s="61" t="n"/>
      <c r="M11" s="28">
        <f>IFERROR(L11/J12,0)</f>
        <v/>
      </c>
      <c r="N11" s="46" t="n"/>
      <c r="O11" s="89">
        <f>IFERROR(N11/SUM(J12),0)</f>
        <v/>
      </c>
      <c r="P11" s="260">
        <f>SUM(X11+AA11)</f>
        <v/>
      </c>
      <c r="Q11" s="89">
        <f>SUM(P11/B12)</f>
        <v/>
      </c>
      <c r="R11" s="260">
        <f>SUM(AA11)</f>
        <v/>
      </c>
      <c r="S11" s="89">
        <f>SUM(R11/B12)</f>
        <v/>
      </c>
      <c r="T11" s="310" t="n">
        <v>3667.5</v>
      </c>
      <c r="U11" s="26" t="n"/>
      <c r="W11" s="310" t="n">
        <v>49158.3</v>
      </c>
      <c r="X11" s="73">
        <f>W12/1.15</f>
        <v/>
      </c>
      <c r="Y11" s="238" t="n"/>
      <c r="Z11" s="310" t="n">
        <v>23549</v>
      </c>
      <c r="AA11" s="73">
        <f>SUM(Z11)/1.15</f>
        <v/>
      </c>
    </row>
    <row r="12" ht="15.6" customHeight="1">
      <c r="A12" s="470" t="inlineStr">
        <is>
          <t>Cambridge Crossing</t>
        </is>
      </c>
      <c r="B12" s="310" t="n">
        <v>205520.91</v>
      </c>
      <c r="C12" s="310" t="n">
        <v>186722.27</v>
      </c>
      <c r="D12" s="310" t="n">
        <v>206751.49</v>
      </c>
      <c r="E12" s="77">
        <f>IFERROR((SUM(B12-C12)/C12),0)</f>
        <v/>
      </c>
      <c r="F12" s="310" t="n">
        <v>418262.38</v>
      </c>
      <c r="G12" s="310" t="n">
        <v>173899.05</v>
      </c>
      <c r="H12" s="467">
        <f>IFERROR((SUM(B12-#REF!)/#REF!),0)</f>
        <v/>
      </c>
      <c r="I12" s="86">
        <f>IFERROR((SUM(B12-D12)/D12),0)</f>
        <v/>
      </c>
      <c r="J12" s="310" t="n">
        <v>694</v>
      </c>
      <c r="K12" s="63">
        <f>IFERROR(B12/J12,0)</f>
        <v/>
      </c>
      <c r="L12" s="61" t="n"/>
      <c r="M12" s="28">
        <f>IFERROR(L12/J12,0)</f>
        <v/>
      </c>
      <c r="N12" s="46" t="n"/>
      <c r="O12" s="89">
        <f>IFERROR(N12/SUM(J12),0)</f>
        <v/>
      </c>
      <c r="P12" s="260">
        <f>SUM(X12+AA12)</f>
        <v/>
      </c>
      <c r="Q12" s="89">
        <f>SUM(P12/B12)</f>
        <v/>
      </c>
      <c r="R12" s="260">
        <f>SUM(AA12)</f>
        <v/>
      </c>
      <c r="S12" s="89">
        <f>SUM(R12/B12)</f>
        <v/>
      </c>
      <c r="T12" s="310" t="n">
        <v>4607.9</v>
      </c>
      <c r="U12" s="9" t="n"/>
      <c r="W12" s="310" t="n">
        <v>23685.47</v>
      </c>
      <c r="X12" s="73">
        <f>W12/1.15</f>
        <v/>
      </c>
      <c r="Y12" s="238" t="n"/>
      <c r="Z12" s="310" t="n">
        <v>47001.93</v>
      </c>
      <c r="AA12" s="73">
        <f>SUM(Z12)/1.15</f>
        <v/>
      </c>
    </row>
    <row r="13" ht="15.6" customHeight="1">
      <c r="A13" s="470" t="inlineStr">
        <is>
          <t>Queenswood</t>
        </is>
      </c>
      <c r="B13" s="310" t="n">
        <v>176783.39</v>
      </c>
      <c r="C13" s="310" t="n">
        <v>151512.03</v>
      </c>
      <c r="D13" s="310" t="n"/>
      <c r="E13" s="77">
        <f>IFERROR((SUM(B13-C13)/C13),0)</f>
        <v/>
      </c>
      <c r="F13" s="310" t="n">
        <v>359349.09</v>
      </c>
      <c r="G13" s="310" t="n">
        <v>138368.63</v>
      </c>
      <c r="H13" s="467">
        <f>IFERROR((SUM(B13-G12)/G12),0)</f>
        <v/>
      </c>
      <c r="I13" s="86">
        <f>IFERROR((SUM(B13-D13)/D13),0)</f>
        <v/>
      </c>
      <c r="J13" s="310" t="n">
        <v>563</v>
      </c>
      <c r="K13" s="63">
        <f>IFERROR(B13/J13,0)</f>
        <v/>
      </c>
      <c r="L13" s="61" t="n"/>
      <c r="M13" s="28">
        <f>IFERROR(L13/J13,0)</f>
        <v/>
      </c>
      <c r="N13" s="46" t="n"/>
      <c r="O13" s="89">
        <f>IFERROR(N13/SUM(J13),0)</f>
        <v/>
      </c>
      <c r="P13" s="260">
        <f>SUM(X13+AA13)</f>
        <v/>
      </c>
      <c r="Q13" s="89">
        <f>SUM(P13/B13)</f>
        <v/>
      </c>
      <c r="R13" s="260">
        <f>SUM(AA13)</f>
        <v/>
      </c>
      <c r="S13" s="89">
        <f>SUM(R13/B13)</f>
        <v/>
      </c>
      <c r="T13" s="310" t="n">
        <v>4328.5</v>
      </c>
      <c r="U13" s="9" t="n"/>
      <c r="W13" s="310" t="n">
        <v>23788.54</v>
      </c>
      <c r="X13" s="73">
        <f>W13/1.15</f>
        <v/>
      </c>
      <c r="Y13" s="238" t="n"/>
      <c r="Z13" s="310" t="n">
        <v>25075.01</v>
      </c>
      <c r="AA13" s="73">
        <f>SUM(Z13)/1.15</f>
        <v/>
      </c>
    </row>
    <row r="14" ht="15.6" customHeight="1">
      <c r="A14" s="469" t="inlineStr">
        <is>
          <t xml:space="preserve">Waterkloof </t>
        </is>
      </c>
      <c r="B14" s="310" t="n">
        <v>161314.92</v>
      </c>
      <c r="C14" s="310" t="n">
        <v>133343.68</v>
      </c>
      <c r="D14" s="310" t="n">
        <v>144600.03</v>
      </c>
      <c r="E14" s="77">
        <f>IFERROR((SUM(B14-C14)/C14),0)</f>
        <v/>
      </c>
      <c r="F14" s="310" t="n">
        <v>317034.28</v>
      </c>
      <c r="G14" s="310" t="n">
        <v>165338.07</v>
      </c>
      <c r="H14" s="467">
        <f>IFERROR((SUM(B14-G14)/G14),0)</f>
        <v/>
      </c>
      <c r="I14" s="86">
        <f>IFERROR((SUM(B14-D14)/D14),0)</f>
        <v/>
      </c>
      <c r="J14" s="310" t="n">
        <v>445</v>
      </c>
      <c r="K14" s="63">
        <f>IFERROR(B14/J14,0)</f>
        <v/>
      </c>
      <c r="L14" s="61" t="n"/>
      <c r="M14" s="28">
        <f>IFERROR(L14/J14,0)</f>
        <v/>
      </c>
      <c r="N14" s="46" t="n"/>
      <c r="O14" s="89">
        <f>IFERROR(N14/SUM(J14),0)</f>
        <v/>
      </c>
      <c r="P14" s="260">
        <f>SUM(X14+AA14)</f>
        <v/>
      </c>
      <c r="Q14" s="89">
        <f>SUM(P14/B14)</f>
        <v/>
      </c>
      <c r="R14" s="260">
        <f>SUM(AA14)</f>
        <v/>
      </c>
      <c r="S14" s="89">
        <f>SUM(R14/B14)</f>
        <v/>
      </c>
      <c r="T14" s="310" t="n">
        <v>6425.75</v>
      </c>
      <c r="U14" s="26" t="n"/>
      <c r="W14" s="310" t="n">
        <v>31891.7</v>
      </c>
      <c r="X14" s="73">
        <f>W14/1.15</f>
        <v/>
      </c>
      <c r="Y14" s="238" t="n"/>
      <c r="Z14" s="310" t="n">
        <v>24440</v>
      </c>
      <c r="AA14" s="73">
        <f>SUM(Z14)/1.15</f>
        <v/>
      </c>
    </row>
    <row r="15" ht="15.6" customHeight="1">
      <c r="A15" s="12" t="inlineStr">
        <is>
          <t>Stellenbosch</t>
        </is>
      </c>
      <c r="B15" s="310" t="n">
        <v>158305.73</v>
      </c>
      <c r="C15" s="310" t="n">
        <v>148004.61</v>
      </c>
      <c r="D15" s="310" t="n">
        <v>152846.04</v>
      </c>
      <c r="E15" s="77">
        <f>IFERROR((SUM(B15-C15)/C15),0)</f>
        <v/>
      </c>
      <c r="F15" s="310" t="n">
        <v>306310.34</v>
      </c>
      <c r="G15" s="310" t="n">
        <v>118733.3</v>
      </c>
      <c r="H15" s="467">
        <f>IFERROR((SUM(B15-G15)/G15),0)</f>
        <v/>
      </c>
      <c r="I15" s="86">
        <f>IFERROR((SUM(B15-D15)/D15),0)</f>
        <v/>
      </c>
      <c r="J15" s="310" t="n">
        <v>476</v>
      </c>
      <c r="K15" s="63">
        <f>IFERROR(B15/J15,0)</f>
        <v/>
      </c>
      <c r="L15" s="61" t="n"/>
      <c r="M15" s="28">
        <f>IFERROR(L15/J15,0)</f>
        <v/>
      </c>
      <c r="N15" s="46" t="n"/>
      <c r="O15" s="89">
        <f>IFERROR(N15/SUM(J15),0)</f>
        <v/>
      </c>
      <c r="P15" s="260">
        <f>SUM(X15+AA15)</f>
        <v/>
      </c>
      <c r="Q15" s="89">
        <f>SUM(P15/B15)</f>
        <v/>
      </c>
      <c r="R15" s="260">
        <f>SUM(AA15)</f>
        <v/>
      </c>
      <c r="S15" s="89">
        <f>SUM(R15/B15)</f>
        <v/>
      </c>
      <c r="T15" s="310" t="n">
        <v>3556.5</v>
      </c>
      <c r="U15" s="26" t="n"/>
      <c r="W15" s="310" t="n">
        <v>23830.72</v>
      </c>
      <c r="X15" s="73">
        <f>W15/1.15</f>
        <v/>
      </c>
      <c r="Y15" s="238" t="n"/>
      <c r="Z15" s="310" t="n">
        <v>23008.25</v>
      </c>
      <c r="AA15" s="73">
        <f>SUM(Z15)/1.15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M16" s="81" t="n"/>
      <c r="N16" s="81" t="n"/>
      <c r="O16" s="81" t="n"/>
      <c r="P16" s="81" t="n"/>
      <c r="Q16" s="81" t="n"/>
      <c r="R16" s="81" t="n"/>
      <c r="S16" s="81" t="n"/>
      <c r="T16" s="81" t="n"/>
      <c r="U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27" t="n"/>
      <c r="U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S15">
    <cfRule type="cellIs" priority="2" operator="equal" dxfId="0">
      <formula>0</formula>
    </cfRule>
  </conditionalFormatting>
  <conditionalFormatting sqref="P12:P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baseColWidth="8" defaultRowHeight="14.4"/>
  <cols>
    <col width="23" customWidth="1" min="1" max="1"/>
    <col width="26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3.6640625" customWidth="1" min="20" max="20"/>
    <col width="13.44140625" customWidth="1" min="21" max="21"/>
    <col width="17.332031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3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6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43">
        <f>SUM(R5:R15)</f>
        <v/>
      </c>
      <c r="S4" s="442">
        <f>SUM(R4/B4)</f>
        <v/>
      </c>
      <c r="T4" s="443">
        <f>SUM(T5:T15)</f>
        <v/>
      </c>
      <c r="U4" s="442">
        <f>SUM(T4/B4)</f>
        <v/>
      </c>
      <c r="V4" s="444">
        <f>SUM(V5:V15)</f>
        <v/>
      </c>
      <c r="W4" s="24" t="n"/>
      <c r="Y4" s="311" t="n"/>
      <c r="Z4" s="312" t="n"/>
      <c r="AB4" s="311" t="n"/>
      <c r="AC4" s="312" t="n"/>
    </row>
    <row r="5" ht="15.6" customHeight="1">
      <c r="A5" s="12" t="inlineStr">
        <is>
          <t>Hartenbos</t>
        </is>
      </c>
      <c r="B5" s="310" t="n">
        <v>210107.49</v>
      </c>
      <c r="C5" s="310" t="n">
        <v>235264.63</v>
      </c>
      <c r="D5" s="310" t="n">
        <v>166877.21</v>
      </c>
      <c r="E5" s="86">
        <f>IFERROR((SUM(B5-C5)/C5),0)</f>
        <v/>
      </c>
      <c r="F5" s="310" t="n">
        <v>727614.76</v>
      </c>
      <c r="G5" s="310" t="n">
        <v>177237.64</v>
      </c>
      <c r="H5" s="467">
        <f>IFERROR((SUM(B5-G5)/G5),0)</f>
        <v/>
      </c>
      <c r="I5" s="86">
        <f>IFERROR((SUM(B5-D5)/D5),0)</f>
        <v/>
      </c>
      <c r="J5" s="311" t="n">
        <v>605</v>
      </c>
      <c r="K5" s="84">
        <f>IFERROR(B5/J5,0)</f>
        <v/>
      </c>
      <c r="L5" s="476" t="n"/>
      <c r="M5" s="476" t="n"/>
      <c r="N5" s="89">
        <f>IFERROR(M5/J5,0)</f>
        <v/>
      </c>
      <c r="O5" s="89" t="n"/>
      <c r="P5" s="477" t="n"/>
      <c r="Q5" s="89">
        <f>IFERROR(P5/SUM(J5),0)</f>
        <v/>
      </c>
      <c r="R5" s="260">
        <f>SUM(Z5+AC5)</f>
        <v/>
      </c>
      <c r="S5" s="89">
        <f>SUM(R5/B5)</f>
        <v/>
      </c>
      <c r="T5" s="260">
        <f>SUM(AC5)</f>
        <v/>
      </c>
      <c r="U5" s="89">
        <f>SUM(T5/B5)</f>
        <v/>
      </c>
      <c r="V5" s="311" t="n">
        <v>1662.3</v>
      </c>
      <c r="W5" s="9" t="n"/>
      <c r="Y5" s="73" t="n">
        <v>0</v>
      </c>
      <c r="Z5" s="73">
        <f>Y5/1.15</f>
        <v/>
      </c>
      <c r="AA5" s="238" t="n"/>
      <c r="AB5" s="310" t="n">
        <v>24496</v>
      </c>
      <c r="AC5" s="73">
        <f>SUM(AB5)/1.15</f>
        <v/>
      </c>
    </row>
    <row r="6" ht="15.6" customHeight="1">
      <c r="A6" s="469" t="inlineStr">
        <is>
          <t>Eagles Landing</t>
        </is>
      </c>
      <c r="B6" s="310" t="n">
        <v>206591.3</v>
      </c>
      <c r="C6" s="310" t="n">
        <v>260508.36</v>
      </c>
      <c r="D6" s="310" t="n">
        <v>317233.92</v>
      </c>
      <c r="E6" s="86">
        <f>IFERROR((SUM(B6-C6)/C6),0)</f>
        <v/>
      </c>
      <c r="F6" s="310" t="n">
        <v>680216.1800000001</v>
      </c>
      <c r="G6" s="310" t="n">
        <v>226149.13</v>
      </c>
      <c r="H6" s="467">
        <f>IFERROR((SUM(B6-G6)/G6),0)</f>
        <v/>
      </c>
      <c r="I6" s="86">
        <f>IFERROR((SUM(B6-D6)/D6),0)</f>
        <v/>
      </c>
      <c r="J6" s="311" t="n">
        <v>575</v>
      </c>
      <c r="K6" s="84">
        <f>IFERROR(B6/J6,0)</f>
        <v/>
      </c>
      <c r="L6" s="476" t="n">
        <v>52</v>
      </c>
      <c r="M6" s="476" t="n">
        <v>4859.12</v>
      </c>
      <c r="N6" s="89">
        <f>IFERROR(M7/J6,0)</f>
        <v/>
      </c>
      <c r="O6" s="476" t="n">
        <v>197</v>
      </c>
      <c r="P6" s="476" t="n">
        <v>18766.83</v>
      </c>
      <c r="Q6" s="89">
        <f>IFERROR(P6/SUM(J6),0)</f>
        <v/>
      </c>
      <c r="R6" s="260">
        <f>SUM(Z6+AC6)</f>
        <v/>
      </c>
      <c r="S6" s="89">
        <f>SUM(R6/B6)</f>
        <v/>
      </c>
      <c r="T6" s="260">
        <f>SUM(AC6)</f>
        <v/>
      </c>
      <c r="U6" s="89">
        <f>SUM(T6/B6)</f>
        <v/>
      </c>
      <c r="V6" s="311" t="n">
        <v>6232.9</v>
      </c>
      <c r="W6" s="26" t="n"/>
      <c r="Y6" s="310" t="n">
        <v>33533.96</v>
      </c>
      <c r="Z6" s="73">
        <f>Y6/1.15</f>
        <v/>
      </c>
      <c r="AA6" s="238" t="n"/>
      <c r="AB6" s="310" t="n">
        <v>25920.63</v>
      </c>
      <c r="AC6" s="73">
        <f>SUM(AB6)/1.15</f>
        <v/>
      </c>
    </row>
    <row r="7" ht="16.5" customHeight="1">
      <c r="A7" s="469" t="inlineStr">
        <is>
          <t>Irene Village</t>
        </is>
      </c>
      <c r="B7" s="310" t="n">
        <v>208209.65</v>
      </c>
      <c r="C7" s="310" t="n">
        <v>260704.58</v>
      </c>
      <c r="D7" s="310" t="n">
        <v>254835.6</v>
      </c>
      <c r="E7" s="86">
        <f>IFERROR((SUM(B7-C7)/C7),0)</f>
        <v/>
      </c>
      <c r="F7" s="310" t="n">
        <v>709596.5699999999</v>
      </c>
      <c r="G7" s="310" t="n">
        <v>215349.4</v>
      </c>
      <c r="H7" s="467">
        <f>IFERROR((SUM(B7-G7)/G7),0)</f>
        <v/>
      </c>
      <c r="I7" s="86">
        <f>IFERROR((SUM(B7-D7)/D7),0)</f>
        <v/>
      </c>
      <c r="J7" s="311" t="n">
        <v>579</v>
      </c>
      <c r="K7" s="84">
        <f>IFERROR(B7/J7,0)</f>
        <v/>
      </c>
      <c r="L7" s="476" t="n">
        <v>21</v>
      </c>
      <c r="M7" s="476" t="n">
        <v>1667.16</v>
      </c>
      <c r="N7" s="89">
        <f>IFERROR(#REF!/J7,0)</f>
        <v/>
      </c>
      <c r="O7" s="476" t="n">
        <v>43</v>
      </c>
      <c r="P7" s="476" t="n">
        <v>3597.83</v>
      </c>
      <c r="Q7" s="89">
        <f>IFERROR(P7/SUM(J7),0)</f>
        <v/>
      </c>
      <c r="R7" s="260">
        <f>SUM(Z7+AC7)</f>
        <v/>
      </c>
      <c r="S7" s="89">
        <f>SUM(R7/B7)</f>
        <v/>
      </c>
      <c r="T7" s="260">
        <f>SUM(AC7)</f>
        <v/>
      </c>
      <c r="U7" s="89">
        <f>SUM(T7/B7)</f>
        <v/>
      </c>
      <c r="V7" s="311" t="n">
        <v>7251</v>
      </c>
      <c r="W7" s="26" t="n"/>
      <c r="Y7" s="310" t="n">
        <v>44576.75</v>
      </c>
      <c r="Z7" s="73">
        <f>Y7/1.15</f>
        <v/>
      </c>
      <c r="AA7" s="238" t="n"/>
      <c r="AB7" s="310" t="n">
        <v>3152</v>
      </c>
      <c r="AC7" s="73">
        <f>SUM(AB7)/1.15</f>
        <v/>
      </c>
    </row>
    <row r="8" ht="15.6" customHeight="1">
      <c r="A8" s="470" t="inlineStr">
        <is>
          <t>Kyalami Corner</t>
        </is>
      </c>
      <c r="B8" s="310" t="n">
        <v>123227.5</v>
      </c>
      <c r="C8" s="310" t="n">
        <v>146820.56</v>
      </c>
      <c r="D8" s="310" t="n">
        <v>125945.97</v>
      </c>
      <c r="E8" s="86">
        <f>IFERROR((SUM(B8-C8)/C8),0)</f>
        <v/>
      </c>
      <c r="F8" s="310" t="n">
        <v>416143.53</v>
      </c>
      <c r="G8" s="310" t="n">
        <v>136813.79</v>
      </c>
      <c r="H8" s="467">
        <f>IFERROR((SUM(B8-G8)/G8),0)</f>
        <v/>
      </c>
      <c r="I8" s="86">
        <f>IFERROR((SUM(B8-D8)/D8),0)</f>
        <v/>
      </c>
      <c r="J8" s="311" t="n">
        <v>413</v>
      </c>
      <c r="K8" s="84">
        <f>IFERROR(B8/J8,0)</f>
        <v/>
      </c>
      <c r="L8" s="476" t="n">
        <v>84</v>
      </c>
      <c r="M8" s="476" t="n">
        <v>6213.85</v>
      </c>
      <c r="N8" s="89">
        <f>IFERROR(M8/J8,0)</f>
        <v/>
      </c>
      <c r="O8" s="476" t="n">
        <v>298</v>
      </c>
      <c r="P8" s="476" t="n">
        <v>25987.33</v>
      </c>
      <c r="Q8" s="89">
        <f>IFERROR(P8/SUM(J8),0)</f>
        <v/>
      </c>
      <c r="R8" s="260">
        <f>SUM(Z8+AC8)</f>
        <v/>
      </c>
      <c r="S8" s="89">
        <f>SUM(R8/B8)</f>
        <v/>
      </c>
      <c r="T8" s="260">
        <f>SUM(AC8)</f>
        <v/>
      </c>
      <c r="U8" s="89">
        <f>SUM(T8/B8)</f>
        <v/>
      </c>
      <c r="V8" s="311" t="n">
        <v>4638.25</v>
      </c>
      <c r="W8" s="9" t="n"/>
      <c r="Y8" s="310" t="n">
        <v>25158.56</v>
      </c>
      <c r="Z8" s="73">
        <f>Y8/1.15</f>
        <v/>
      </c>
      <c r="AA8" s="238" t="n"/>
      <c r="AB8" s="310" t="n">
        <v>29578.9</v>
      </c>
      <c r="AC8" s="73">
        <f>SUM(AB8)/1.15</f>
        <v/>
      </c>
    </row>
    <row r="9" ht="15.6" customHeight="1">
      <c r="A9" s="470" t="inlineStr">
        <is>
          <t>Lynnwood</t>
        </is>
      </c>
      <c r="B9" t="n">
        <v>208620.72</v>
      </c>
      <c r="C9" s="310" t="n">
        <v>254960.91</v>
      </c>
      <c r="D9" s="310" t="n">
        <v>243010.12</v>
      </c>
      <c r="E9" s="86">
        <f>IFERROR((SUM(B9-C9)/C9),0)</f>
        <v/>
      </c>
      <c r="F9" t="n">
        <v>663887.12</v>
      </c>
      <c r="G9" s="310" t="n">
        <v>207602.03</v>
      </c>
      <c r="H9" s="467">
        <f>IFERROR((SUM(B9-G9)/G9),0)</f>
        <v/>
      </c>
      <c r="I9" s="86">
        <f>IFERROR((SUM(B9-D9)/D9),0)</f>
        <v/>
      </c>
      <c r="J9" t="n">
        <v>646</v>
      </c>
      <c r="K9" s="84">
        <f>IFERROR(B9/J9,0)</f>
        <v/>
      </c>
      <c r="L9" s="476" t="n">
        <v>52</v>
      </c>
      <c r="M9" s="476" t="n">
        <v>4699.7</v>
      </c>
      <c r="N9" s="89">
        <f>IFERROR(M9/J9,0)</f>
        <v/>
      </c>
      <c r="O9" s="476" t="n">
        <v>147</v>
      </c>
      <c r="P9" s="476" t="n">
        <v>14006.66</v>
      </c>
      <c r="Q9" s="89">
        <f>IFERROR(P9/SUM(J9),0)</f>
        <v/>
      </c>
      <c r="R9" s="260">
        <f>SUM(Z9+AC9)</f>
        <v/>
      </c>
      <c r="S9" s="89">
        <f>SUM(R9/B9)</f>
        <v/>
      </c>
      <c r="T9" s="260">
        <f>SUM(AC9)</f>
        <v/>
      </c>
      <c r="U9" s="89">
        <f>SUM(T9/B9)</f>
        <v/>
      </c>
      <c r="V9" t="n">
        <v>3518.5</v>
      </c>
      <c r="W9" s="26" t="n"/>
      <c r="Y9" t="n">
        <v>26216.74</v>
      </c>
      <c r="Z9" s="73">
        <f>Y9/1.15</f>
        <v/>
      </c>
      <c r="AA9" s="238" t="n"/>
      <c r="AB9" t="n">
        <v>40321.56</v>
      </c>
      <c r="AC9" s="73">
        <f>SUM(AB9)/1.15</f>
        <v/>
      </c>
    </row>
    <row r="10" ht="15.6" customHeight="1">
      <c r="A10" s="445" t="inlineStr">
        <is>
          <t>Melrose Arch</t>
        </is>
      </c>
      <c r="B10" s="310" t="n"/>
      <c r="C10" s="310" t="n"/>
      <c r="D10" s="310" t="n">
        <v>191397.82</v>
      </c>
      <c r="E10" s="86">
        <f>IFERROR((SUM(B10-C10)/C10),0)</f>
        <v/>
      </c>
      <c r="F10" s="310" t="n"/>
      <c r="G10" s="310" t="n">
        <v>196341.91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6" t="n"/>
      <c r="M10" s="476" t="n"/>
      <c r="N10" s="89">
        <f>IFERROR(M10/J11,0)</f>
        <v/>
      </c>
      <c r="O10" s="476" t="n"/>
      <c r="P10" s="476" t="n"/>
      <c r="Q10" s="89">
        <f>IFERROR(P10/SUM(J11),0)</f>
        <v/>
      </c>
      <c r="R10" s="260">
        <f>SUM(Z10+AC10)</f>
        <v/>
      </c>
      <c r="S10" s="89">
        <f>SUM(R10/B11)</f>
        <v/>
      </c>
      <c r="T10" s="260">
        <f>SUM(AC10)</f>
        <v/>
      </c>
      <c r="U10" s="89">
        <f>SUM(T10/B11)</f>
        <v/>
      </c>
      <c r="V10" s="310" t="n"/>
      <c r="W10" s="26" t="n"/>
      <c r="Y10" s="73" t="n"/>
      <c r="Z10" s="73">
        <f>Y11/1.15</f>
        <v/>
      </c>
      <c r="AA10" s="238" t="n"/>
      <c r="AB10" s="310" t="n"/>
      <c r="AC10" s="73">
        <f>SUM(AB10)/1.15</f>
        <v/>
      </c>
    </row>
    <row r="11" ht="15.6" customHeight="1">
      <c r="A11" s="469" t="inlineStr">
        <is>
          <t>Melville</t>
        </is>
      </c>
      <c r="B11" s="310" t="n">
        <v>128339.83</v>
      </c>
      <c r="C11" s="310" t="n">
        <v>151374.37</v>
      </c>
      <c r="D11" s="310" t="n">
        <v>86713.33</v>
      </c>
      <c r="E11" s="86">
        <f>IFERROR((SUM(B11-C11)/C11),0)</f>
        <v/>
      </c>
      <c r="F11" s="310" t="n">
        <v>432072.22</v>
      </c>
      <c r="G11" s="310" t="n">
        <v>108311.73</v>
      </c>
      <c r="H11" s="467">
        <f>IFERROR((SUM(B11-G11)/G11),0)</f>
        <v/>
      </c>
      <c r="I11" s="86">
        <f>IFERROR((SUM(#REF!-D11)/D11),0)</f>
        <v/>
      </c>
      <c r="J11" s="311" t="n">
        <v>457</v>
      </c>
      <c r="K11" s="84">
        <f>IFERROR(B12/J12,0)</f>
        <v/>
      </c>
      <c r="L11" s="476" t="n">
        <v>165</v>
      </c>
      <c r="M11" s="476" t="n">
        <v>14301.14</v>
      </c>
      <c r="N11" s="89">
        <f>IFERROR(M11/J12,0)</f>
        <v/>
      </c>
      <c r="O11" s="476" t="n">
        <v>635</v>
      </c>
      <c r="P11" s="476" t="n">
        <v>57662.05</v>
      </c>
      <c r="Q11" s="89">
        <f>IFERROR(P11/SUM(J12),0)</f>
        <v/>
      </c>
      <c r="R11" s="260">
        <f>SUM(Z11+AC11)</f>
        <v/>
      </c>
      <c r="S11" s="89">
        <f>SUM(R11/B12)</f>
        <v/>
      </c>
      <c r="T11" s="260">
        <f>SUM(AC11)</f>
        <v/>
      </c>
      <c r="U11" s="89">
        <f>SUM(T11/B12)</f>
        <v/>
      </c>
      <c r="V11" s="311" t="n">
        <v>4476</v>
      </c>
      <c r="W11" s="26" t="n"/>
      <c r="Y11" s="310" t="n">
        <v>52931.75</v>
      </c>
      <c r="Z11" s="73">
        <f>Y12/1.15</f>
        <v/>
      </c>
      <c r="AA11" s="238" t="n"/>
      <c r="AB11" s="310" t="n">
        <v>22016.38</v>
      </c>
      <c r="AC11" s="73">
        <f>SUM(AB11)/1.15</f>
        <v/>
      </c>
    </row>
    <row r="12" ht="15.6" customHeight="1">
      <c r="A12" s="470" t="inlineStr">
        <is>
          <t>Cambridge Crossing</t>
        </is>
      </c>
      <c r="B12" s="310" t="n">
        <v>205968.85</v>
      </c>
      <c r="C12" s="310" t="n">
        <v>205520.91</v>
      </c>
      <c r="D12" s="310" t="n">
        <v>206751.49</v>
      </c>
      <c r="E12" s="86">
        <f>IFERROR((SUM(B12-C12)/C12),0)</f>
        <v/>
      </c>
      <c r="F12" s="310" t="n">
        <v>624231.23</v>
      </c>
      <c r="G12" s="310" t="n">
        <v>163417.19</v>
      </c>
      <c r="H12" s="467">
        <f>IFERROR((SUM(B12-#REF!)/#REF!),0)</f>
        <v/>
      </c>
      <c r="I12" s="86">
        <f>IFERROR((SUM(B12-D12)/D12),0)</f>
        <v/>
      </c>
      <c r="J12" s="311" t="n">
        <v>670</v>
      </c>
      <c r="K12" s="84">
        <f>IFERROR(B12/J12,0)</f>
        <v/>
      </c>
      <c r="L12" s="476" t="n">
        <v>173</v>
      </c>
      <c r="M12" s="476" t="n">
        <v>16320.94</v>
      </c>
      <c r="N12" s="89">
        <f>IFERROR(M12/J12,0)</f>
        <v/>
      </c>
      <c r="O12" s="476" t="n">
        <v>529</v>
      </c>
      <c r="P12" s="476" t="n">
        <v>49273.69</v>
      </c>
      <c r="Q12" s="89">
        <f>IFERROR(P12/SUM(J12),0)</f>
        <v/>
      </c>
      <c r="R12" s="260">
        <f>SUM(Z12+AC12)</f>
        <v/>
      </c>
      <c r="S12" s="89">
        <f>SUM(R12/B12)</f>
        <v/>
      </c>
      <c r="T12" s="260">
        <f>SUM(AC12)</f>
        <v/>
      </c>
      <c r="U12" s="89">
        <f>SUM(T12/B12)</f>
        <v/>
      </c>
      <c r="V12" s="311" t="n">
        <v>5584</v>
      </c>
      <c r="W12" s="9" t="n"/>
      <c r="Y12" s="310" t="n">
        <v>37675.24</v>
      </c>
      <c r="Z12" s="73">
        <f>Y12/1.15</f>
        <v/>
      </c>
      <c r="AA12" s="238" t="n"/>
      <c r="AB12" s="310" t="n">
        <v>30525.38</v>
      </c>
      <c r="AC12" s="73">
        <f>SUM(AB12)/1.15</f>
        <v/>
      </c>
    </row>
    <row r="13" ht="15.6" customHeight="1">
      <c r="A13" s="470" t="inlineStr">
        <is>
          <t>Queenswood</t>
        </is>
      </c>
      <c r="B13" s="310" t="n">
        <v>139225.64</v>
      </c>
      <c r="C13" s="310" t="n">
        <v>176783.39</v>
      </c>
      <c r="D13" s="310" t="n"/>
      <c r="E13" s="86">
        <f>IFERROR((SUM(B13-C13)/C13),0)</f>
        <v/>
      </c>
      <c r="F13" s="310" t="n">
        <v>498574.73</v>
      </c>
      <c r="G13" s="310" t="n">
        <v>142536.71</v>
      </c>
      <c r="H13" s="467">
        <f>IFERROR((SUM(B13-G12)/G12),0)</f>
        <v/>
      </c>
      <c r="I13" s="86">
        <f>IFERROR((SUM(B13-D13)/D13),0)</f>
        <v/>
      </c>
      <c r="J13" s="311" t="n">
        <v>494</v>
      </c>
      <c r="K13" s="84">
        <f>IFERROR(B13/J13,0)</f>
        <v/>
      </c>
      <c r="L13" s="476" t="n">
        <v>84</v>
      </c>
      <c r="M13" s="476" t="n">
        <v>6939.47</v>
      </c>
      <c r="N13" s="89">
        <f>IFERROR(M13/J13,0)</f>
        <v/>
      </c>
      <c r="O13" s="476" t="n">
        <v>269</v>
      </c>
      <c r="P13" s="476" t="n">
        <v>22557.62</v>
      </c>
      <c r="Q13" s="89">
        <f>IFERROR(P13/SUM(J13),0)</f>
        <v/>
      </c>
      <c r="R13" s="260">
        <f>SUM(Z13+AC13)</f>
        <v/>
      </c>
      <c r="S13" s="89">
        <f>SUM(R13/B13)</f>
        <v/>
      </c>
      <c r="T13" s="260">
        <f>SUM(AC13)</f>
        <v/>
      </c>
      <c r="U13" s="89">
        <f>SUM(T13/B13)</f>
        <v/>
      </c>
      <c r="V13" s="311" t="n">
        <v>3861.8</v>
      </c>
      <c r="W13" s="9" t="n"/>
      <c r="Y13" s="310" t="n">
        <v>17984.98</v>
      </c>
      <c r="Z13" s="73">
        <f>Y13/1.15</f>
        <v/>
      </c>
      <c r="AA13" s="238" t="n"/>
      <c r="AB13" s="310" t="n">
        <v>24607.49</v>
      </c>
      <c r="AC13" s="73">
        <f>SUM(AB13)/1.15</f>
        <v/>
      </c>
    </row>
    <row r="14" ht="15.6" customHeight="1">
      <c r="A14" s="469" t="inlineStr">
        <is>
          <t xml:space="preserve">Waterkloof </t>
        </is>
      </c>
      <c r="B14" s="310" t="n">
        <v>158859.58</v>
      </c>
      <c r="C14" s="310" t="n">
        <v>161314.92</v>
      </c>
      <c r="D14" s="310" t="n">
        <v>144600.03</v>
      </c>
      <c r="E14" s="86">
        <f>IFERROR((SUM(B14-C14)/C14),0)</f>
        <v/>
      </c>
      <c r="F14" s="310" t="n">
        <v>475893.86</v>
      </c>
      <c r="G14" s="310" t="n">
        <v>173410.07</v>
      </c>
      <c r="H14" s="467">
        <f>IFERROR((SUM(B14-G14)/G14),0)</f>
        <v/>
      </c>
      <c r="I14" s="86">
        <f>IFERROR((SUM(B14-D14)/D14),0)</f>
        <v/>
      </c>
      <c r="J14" s="311" t="n">
        <v>496</v>
      </c>
      <c r="K14" s="84">
        <f>IFERROR(B14/J14,0)</f>
        <v/>
      </c>
      <c r="L14" s="476" t="n">
        <v>95</v>
      </c>
      <c r="M14" s="476" t="n">
        <v>8616.280000000001</v>
      </c>
      <c r="N14" s="89">
        <f>IFERROR(M14/J14,0)</f>
        <v/>
      </c>
      <c r="O14" s="476" t="n">
        <v>263</v>
      </c>
      <c r="P14" s="476" t="n">
        <v>25661.94</v>
      </c>
      <c r="Q14" s="89">
        <f>IFERROR(P14/SUM(J14),0)</f>
        <v/>
      </c>
      <c r="R14" s="260">
        <f>SUM(Z14+AC14)</f>
        <v/>
      </c>
      <c r="S14" s="89">
        <f>SUM(R14/B14)</f>
        <v/>
      </c>
      <c r="T14" s="260">
        <f>SUM(AC14)</f>
        <v/>
      </c>
      <c r="U14" s="89">
        <f>SUM(T14/B14)</f>
        <v/>
      </c>
      <c r="V14" s="311" t="n">
        <v>7832</v>
      </c>
      <c r="W14" s="26" t="n"/>
      <c r="Y14" s="310" t="n">
        <v>40887.06</v>
      </c>
      <c r="Z14" s="73">
        <f>Y14/1.15</f>
        <v/>
      </c>
      <c r="AA14" s="238" t="n"/>
      <c r="AB14" s="310" t="n">
        <v>25185.5</v>
      </c>
      <c r="AC14" s="73">
        <f>SUM(AB14)/1.15</f>
        <v/>
      </c>
    </row>
    <row r="15" ht="15.6" customHeight="1">
      <c r="A15" s="12" t="inlineStr">
        <is>
          <t>Stellenbosch</t>
        </is>
      </c>
      <c r="B15" s="310" t="n">
        <v>147176.59</v>
      </c>
      <c r="C15" s="310" t="n">
        <v>158305.73</v>
      </c>
      <c r="D15" s="310" t="n">
        <v>152846.04</v>
      </c>
      <c r="E15" s="86">
        <f>IFERROR((SUM(B15-C15)/C15),0)</f>
        <v/>
      </c>
      <c r="F15" s="310" t="n">
        <v>453486.93</v>
      </c>
      <c r="G15" s="310" t="n">
        <v>136993</v>
      </c>
      <c r="H15" s="467">
        <f>IFERROR((SUM(B15-G15)/G15),0)</f>
        <v/>
      </c>
      <c r="I15" s="86">
        <f>IFERROR((SUM(B15-D15)/D15),0)</f>
        <v/>
      </c>
      <c r="J15" s="311" t="n">
        <v>483</v>
      </c>
      <c r="K15" s="84">
        <f>IFERROR(B15/J15,0)</f>
        <v/>
      </c>
      <c r="L15" s="476" t="n">
        <v>39</v>
      </c>
      <c r="M15" s="476" t="n">
        <v>3249.86</v>
      </c>
      <c r="N15" s="89">
        <f>IFERROR(M15/J15,0)</f>
        <v/>
      </c>
      <c r="O15" s="476" t="n">
        <v>82</v>
      </c>
      <c r="P15" s="476" t="n">
        <v>6988.08</v>
      </c>
      <c r="Q15" s="89">
        <f>IFERROR(P15/SUM(J15),0)</f>
        <v/>
      </c>
      <c r="R15" s="260">
        <f>SUM(Z15+AC15)</f>
        <v/>
      </c>
      <c r="S15" s="89">
        <f>SUM(R15/B15)</f>
        <v/>
      </c>
      <c r="T15" s="260">
        <f>SUM(AC15)</f>
        <v/>
      </c>
      <c r="U15" s="89">
        <f>SUM(T15/B15)</f>
        <v/>
      </c>
      <c r="V15" s="311" t="n">
        <v>3875</v>
      </c>
      <c r="W15" s="26" t="n"/>
      <c r="Y15" s="310" t="n">
        <v>28245.1</v>
      </c>
      <c r="Z15" s="73">
        <f>Y15/1.15</f>
        <v/>
      </c>
      <c r="AA15" s="238" t="n"/>
      <c r="AB15" s="310" t="n">
        <v>23325.25</v>
      </c>
      <c r="AC15" s="73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0">
      <c r="B40" t="inlineStr">
        <is>
          <t>Sales Departemental report</t>
        </is>
      </c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489" t="n">
        <v>200471.92</v>
      </c>
      <c r="C5" s="489" t="n">
        <v>210107.49</v>
      </c>
      <c r="D5" s="489" t="n">
        <v>166877.21</v>
      </c>
      <c r="E5" s="86">
        <f>IFERROR((SUM(B5-C5)/C5),0)</f>
        <v/>
      </c>
      <c r="F5" s="489" t="n">
        <v>928086.6800000001</v>
      </c>
      <c r="G5" s="489" t="n">
        <v>189110.91</v>
      </c>
      <c r="H5" s="467">
        <f>IFERROR((SUM(B5-G5)/G5),0)</f>
        <v/>
      </c>
      <c r="I5" s="86">
        <f>IFERROR((SUM(B5-D5)/D5),0)</f>
        <v/>
      </c>
      <c r="J5" s="489" t="n">
        <v>600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489" t="n">
        <v>2142</v>
      </c>
      <c r="W5" s="486" t="n"/>
      <c r="X5" s="483" t="n"/>
      <c r="Y5" s="75" t="n">
        <v>0</v>
      </c>
      <c r="Z5" s="75">
        <f>Y5/1.15</f>
        <v/>
      </c>
      <c r="AA5" s="487" t="n"/>
      <c r="AB5" s="313" t="n">
        <v>21372</v>
      </c>
      <c r="AC5" s="75">
        <f>SUM(AB5)/1.15</f>
        <v/>
      </c>
    </row>
    <row r="6" ht="15.6" customHeight="1">
      <c r="A6" s="492" t="inlineStr">
        <is>
          <t>Eagles Landing</t>
        </is>
      </c>
      <c r="B6" s="489" t="n">
        <v>227736.26</v>
      </c>
      <c r="C6" s="489" t="n">
        <v>206591.3</v>
      </c>
      <c r="D6" s="489" t="n">
        <v>317233.92</v>
      </c>
      <c r="E6" s="86">
        <f>IFERROR((SUM(B6-C6)/C6),0)</f>
        <v/>
      </c>
      <c r="F6" s="489" t="n">
        <v>907952.4399999999</v>
      </c>
      <c r="G6" s="489" t="n">
        <v>227402.91</v>
      </c>
      <c r="H6" s="467">
        <f>IFERROR((SUM(B6-G6)/G6),0)</f>
        <v/>
      </c>
      <c r="I6" s="86">
        <f>IFERROR((SUM(B6-D6)/D6),0)</f>
        <v/>
      </c>
      <c r="J6" s="489" t="n">
        <v>677</v>
      </c>
      <c r="K6" s="84">
        <f>IFERROR(B6/J6,0)</f>
        <v/>
      </c>
      <c r="L6" s="490" t="n">
        <v>52</v>
      </c>
      <c r="M6" s="489" t="n">
        <v>9794.74</v>
      </c>
      <c r="N6" s="89">
        <f>IFERROR(M7/J6,0)</f>
        <v/>
      </c>
      <c r="O6" s="490" t="n">
        <v>197</v>
      </c>
      <c r="P6" s="489" t="n">
        <v>28561.57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489" t="n">
        <v>9308.9</v>
      </c>
      <c r="W6" s="488" t="n"/>
      <c r="X6" s="483" t="n"/>
      <c r="Y6" s="313" t="n">
        <v>45409.77</v>
      </c>
      <c r="Z6" s="75">
        <f>Y6/1.15</f>
        <v/>
      </c>
      <c r="AA6" s="487" t="n"/>
      <c r="AB6" s="313" t="n">
        <v>28165.45</v>
      </c>
      <c r="AC6" s="75">
        <f>SUM(AB6)/1.15</f>
        <v/>
      </c>
    </row>
    <row r="7" ht="16.5" customHeight="1">
      <c r="A7" s="492" t="inlineStr">
        <is>
          <t>Irene Village</t>
        </is>
      </c>
      <c r="B7" s="489" t="n">
        <v>234482.01</v>
      </c>
      <c r="C7" s="489" t="n">
        <v>208209.65</v>
      </c>
      <c r="D7" s="489" t="n">
        <v>254835.6</v>
      </c>
      <c r="E7" s="86">
        <f>IFERROR((SUM(B7-C7)/C7),0)</f>
        <v/>
      </c>
      <c r="F7" s="489" t="n">
        <v>893357.67</v>
      </c>
      <c r="G7" s="489" t="n">
        <v>255083.58</v>
      </c>
      <c r="H7" s="467">
        <f>IFERROR((SUM(B7-G7)/G7),0)</f>
        <v/>
      </c>
      <c r="I7" s="86">
        <f>IFERROR((SUM(B7-D7)/D7),0)</f>
        <v/>
      </c>
      <c r="J7" s="489" t="n">
        <v>640</v>
      </c>
      <c r="K7" s="84">
        <f>IFERROR(B7/J7,0)</f>
        <v/>
      </c>
      <c r="L7" s="490" t="n">
        <v>21</v>
      </c>
      <c r="M7" s="489" t="n">
        <v>1205.19</v>
      </c>
      <c r="N7" s="89">
        <f>IFERROR(#REF!/J7,0)</f>
        <v/>
      </c>
      <c r="O7" s="490" t="n">
        <v>43</v>
      </c>
      <c r="P7" s="489" t="n">
        <v>4803.02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489" t="n">
        <v>1860</v>
      </c>
      <c r="W7" s="488" t="n"/>
      <c r="X7" s="483" t="n"/>
      <c r="Y7" s="313" t="n">
        <v>54577</v>
      </c>
      <c r="Z7" s="75">
        <f>Y7/1.15</f>
        <v/>
      </c>
      <c r="AA7" s="487" t="n"/>
      <c r="AB7" s="313" t="n">
        <v>556</v>
      </c>
      <c r="AC7" s="75">
        <f>SUM(AB7)/1.15</f>
        <v/>
      </c>
    </row>
    <row r="8" ht="15.6" customHeight="1">
      <c r="A8" s="492" t="inlineStr">
        <is>
          <t>Kyalami Corner</t>
        </is>
      </c>
      <c r="B8" s="489" t="n">
        <v>157775.58</v>
      </c>
      <c r="C8" s="489" t="n">
        <v>123227.5</v>
      </c>
      <c r="D8" s="489" t="n">
        <v>125945.97</v>
      </c>
      <c r="E8" s="86">
        <f>IFERROR((SUM(B8-C8)/C8),0)</f>
        <v/>
      </c>
      <c r="F8" s="489" t="n">
        <v>573919.11</v>
      </c>
      <c r="G8" s="489" t="n">
        <v>146090.97</v>
      </c>
      <c r="H8" s="467">
        <f>IFERROR((SUM(B8-G8)/G8),0)</f>
        <v/>
      </c>
      <c r="I8" s="86">
        <f>IFERROR((SUM(B8-D8)/D8),0)</f>
        <v/>
      </c>
      <c r="J8" s="489" t="n">
        <v>526</v>
      </c>
      <c r="K8" s="84">
        <f>IFERROR(B8/J8,0)</f>
        <v/>
      </c>
      <c r="L8" s="490" t="n">
        <v>84</v>
      </c>
      <c r="M8" s="489" t="n">
        <v>15065.98</v>
      </c>
      <c r="N8" s="89">
        <f>IFERROR(M8/J8,0)</f>
        <v/>
      </c>
      <c r="O8" s="490" t="n">
        <v>298</v>
      </c>
      <c r="P8" s="489" t="n">
        <v>41053.31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489" t="n">
        <v>5396.5</v>
      </c>
      <c r="W8" s="486" t="n"/>
      <c r="X8" s="483" t="n"/>
      <c r="Y8" s="313" t="n">
        <v>42382.24</v>
      </c>
      <c r="Z8" s="75">
        <f>Y8/1.15</f>
        <v/>
      </c>
      <c r="AA8" s="487" t="n"/>
      <c r="AB8" s="313" t="n">
        <v>25367.5</v>
      </c>
      <c r="AC8" s="75">
        <f>SUM(AB8)/1.15</f>
        <v/>
      </c>
    </row>
    <row r="9" ht="15.6" customHeight="1">
      <c r="A9" s="492" t="inlineStr">
        <is>
          <t>Lynnwood</t>
        </is>
      </c>
      <c r="B9" s="489" t="n">
        <v>201028.07</v>
      </c>
      <c r="C9" s="489" t="n">
        <v>208620.72</v>
      </c>
      <c r="D9" s="489" t="n">
        <v>243010.12</v>
      </c>
      <c r="E9" s="86">
        <f>IFERROR((SUM(B9-C9)/C9),0)</f>
        <v/>
      </c>
      <c r="F9" s="489" t="n">
        <v>864915.1899999999</v>
      </c>
      <c r="G9" s="489" t="n">
        <v>240394.06</v>
      </c>
      <c r="H9" s="467">
        <f>IFERROR((SUM(B9-#REF!)/#REF!),0)</f>
        <v/>
      </c>
      <c r="I9" s="86">
        <f>IFERROR((SUM(B9-D9)/D9),0)</f>
        <v/>
      </c>
      <c r="J9" s="489" t="n">
        <v>649</v>
      </c>
      <c r="K9" s="84">
        <f>IFERROR(B9/J9,0)</f>
        <v/>
      </c>
      <c r="L9" s="490" t="n">
        <v>52</v>
      </c>
      <c r="M9" s="489" t="n">
        <v>4328.02</v>
      </c>
      <c r="N9" s="89">
        <f>IFERROR(M9/J9,0)</f>
        <v/>
      </c>
      <c r="O9" s="490" t="n">
        <v>147</v>
      </c>
      <c r="P9" s="489" t="n">
        <v>18334.68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489" t="n">
        <v>7282.5</v>
      </c>
      <c r="W9" s="488" t="n"/>
      <c r="X9" s="483" t="n"/>
      <c r="Y9" s="313" t="n">
        <v>27123.24</v>
      </c>
      <c r="Z9" s="75">
        <f>Y9/1.15</f>
        <v/>
      </c>
      <c r="AA9" s="487" t="n"/>
      <c r="AB9" s="313" t="n">
        <v>39549.51</v>
      </c>
      <c r="AC9" s="75">
        <f>SUM(AB9)/1.15</f>
        <v/>
      </c>
    </row>
    <row r="10" ht="15.6" customHeight="1">
      <c r="A10" s="432" t="inlineStr">
        <is>
          <t>Melrose Arch</t>
        </is>
      </c>
      <c r="B10" s="489" t="n"/>
      <c r="C10" s="489" t="n"/>
      <c r="D10" s="489" t="n">
        <v>191397.82</v>
      </c>
      <c r="E10" s="86">
        <f>IFERROR((SUM(B10-C10)/C10),0)</f>
        <v/>
      </c>
      <c r="F10" s="489" t="n"/>
      <c r="G10" s="489" t="n">
        <v>280559.71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489" t="n">
        <v>147804.75</v>
      </c>
      <c r="C11" s="489" t="n">
        <v>128339.83</v>
      </c>
      <c r="D11" s="489" t="n">
        <v>86713.33</v>
      </c>
      <c r="E11" s="86">
        <f>IFERROR((SUM(B11-C11)/C11),0)</f>
        <v/>
      </c>
      <c r="F11" s="489" t="n">
        <v>579876.97</v>
      </c>
      <c r="G11" s="489" t="n">
        <v>142495.73</v>
      </c>
      <c r="H11" s="467">
        <f>IFERROR((SUM(B11-G11)/G11),0)</f>
        <v/>
      </c>
      <c r="I11" s="86">
        <f>IFERROR((SUM(#REF!-D11)/D11),0)</f>
        <v/>
      </c>
      <c r="J11" s="489" t="n">
        <v>501</v>
      </c>
      <c r="K11" s="84">
        <f>IFERROR(B12/J12,0)</f>
        <v/>
      </c>
      <c r="L11" s="490" t="n">
        <v>165</v>
      </c>
      <c r="M11" s="489" t="n">
        <v>22938.51</v>
      </c>
      <c r="N11" s="89">
        <f>IFERROR(M11/J12,0)</f>
        <v/>
      </c>
      <c r="O11" s="490" t="n">
        <v>635</v>
      </c>
      <c r="P11" s="489" t="n">
        <v>80600.56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489" t="n">
        <v>2591.75</v>
      </c>
      <c r="W11" s="488" t="n"/>
      <c r="X11" s="483" t="n"/>
      <c r="Y11" s="313" t="n">
        <v>43132.58</v>
      </c>
      <c r="Z11" s="75">
        <f>Y12/1.15</f>
        <v/>
      </c>
      <c r="AA11" s="487" t="n"/>
      <c r="AB11" s="313" t="n">
        <v>28171.51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489" t="n">
        <v>221187.54</v>
      </c>
      <c r="C12" s="489" t="n">
        <v>205968.85</v>
      </c>
      <c r="D12" s="489" t="n">
        <v>206751.49</v>
      </c>
      <c r="E12" s="86">
        <f>IFERROR((SUM(B12-C12)/C12),0)</f>
        <v/>
      </c>
      <c r="F12" s="489" t="n">
        <v>845418.77</v>
      </c>
      <c r="G12" s="489" t="n">
        <v>204056.94</v>
      </c>
      <c r="H12" s="467">
        <f>IFERROR((SUM(B12-#REF!)/#REF!),0)</f>
        <v/>
      </c>
      <c r="I12" s="86">
        <f>IFERROR((SUM(B12-D12)/D12),0)</f>
        <v/>
      </c>
      <c r="J12" s="489" t="n">
        <v>715</v>
      </c>
      <c r="K12" s="84">
        <f>IFERROR(B12/J12,0)</f>
        <v/>
      </c>
      <c r="L12" s="490" t="n">
        <v>173</v>
      </c>
      <c r="M12" s="489" t="n">
        <v>19686.09</v>
      </c>
      <c r="N12" s="89">
        <f>IFERROR(M12/J12,0)</f>
        <v/>
      </c>
      <c r="O12" s="490" t="n">
        <v>529</v>
      </c>
      <c r="P12" s="489" t="n">
        <v>68959.78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489" t="n">
        <v>4992</v>
      </c>
      <c r="W12" s="486" t="n"/>
      <c r="X12" s="483" t="n"/>
      <c r="Y12" s="313" t="n">
        <v>48413.97</v>
      </c>
      <c r="Z12" s="75">
        <f>Y12/1.15</f>
        <v/>
      </c>
      <c r="AA12" s="487" t="n"/>
      <c r="AB12" s="313" t="n">
        <v>36038.47</v>
      </c>
      <c r="AC12" s="75">
        <f>SUM(AB12)/1.15</f>
        <v/>
      </c>
    </row>
    <row r="13" ht="15.6" customHeight="1">
      <c r="A13" s="492" t="inlineStr">
        <is>
          <t>Queenswood</t>
        </is>
      </c>
      <c r="B13" s="489" t="n">
        <v>189414.41</v>
      </c>
      <c r="C13" s="489" t="n">
        <v>139225.64</v>
      </c>
      <c r="D13" s="489" t="n"/>
      <c r="E13" s="86">
        <f>IFERROR((SUM(B13-C13)/C13),0)</f>
        <v/>
      </c>
      <c r="F13" s="489" t="n">
        <v>687989.14</v>
      </c>
      <c r="G13" s="489" t="n">
        <v>172188.47</v>
      </c>
      <c r="H13" s="467">
        <f>IFERROR((SUM(B13-G12)/G12),0)</f>
        <v/>
      </c>
      <c r="I13" s="86">
        <f>IFERROR((SUM(B13-D13)/D13),0)</f>
        <v/>
      </c>
      <c r="J13" s="489" t="n">
        <v>660</v>
      </c>
      <c r="K13" s="84">
        <f>IFERROR(B13/J13,0)</f>
        <v/>
      </c>
      <c r="L13" s="490" t="n">
        <v>84</v>
      </c>
      <c r="M13" s="489" t="n">
        <v>15677.29</v>
      </c>
      <c r="N13" s="89">
        <f>IFERROR(M13/J13,0)</f>
        <v/>
      </c>
      <c r="O13" s="490" t="n">
        <v>269</v>
      </c>
      <c r="P13" s="489" t="n">
        <v>38234.91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489" t="n">
        <v>5501.9</v>
      </c>
      <c r="W13" s="486" t="n"/>
      <c r="X13" s="483" t="n"/>
      <c r="Y13" s="313" t="n">
        <v>32974.54</v>
      </c>
      <c r="Z13" s="75">
        <f>Y13/1.15</f>
        <v/>
      </c>
      <c r="AA13" s="487" t="n"/>
      <c r="AB13" s="313" t="n">
        <v>33161.89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489" t="n">
        <v>142449.04</v>
      </c>
      <c r="C14" s="489" t="n">
        <v>158859.58</v>
      </c>
      <c r="D14" s="489" t="n">
        <v>144600.03</v>
      </c>
      <c r="E14" s="86">
        <f>IFERROR((SUM(B14-C14)/C14),0)</f>
        <v/>
      </c>
      <c r="F14" s="489" t="n">
        <v>618342.9</v>
      </c>
      <c r="G14" s="489" t="n">
        <v>168921.07</v>
      </c>
      <c r="H14" s="467">
        <f>IFERROR((SUM(B14-G14)/G14),0)</f>
        <v/>
      </c>
      <c r="I14" s="86">
        <f>IFERROR((SUM(B14-D14)/D14),0)</f>
        <v/>
      </c>
      <c r="J14" s="489" t="n">
        <v>407</v>
      </c>
      <c r="K14" s="84">
        <f>IFERROR(B14/J14,0)</f>
        <v/>
      </c>
      <c r="L14" s="490" t="n">
        <v>95</v>
      </c>
      <c r="M14" s="489" t="n">
        <v>8449.49</v>
      </c>
      <c r="N14" s="89">
        <f>IFERROR(M14/J14,0)</f>
        <v/>
      </c>
      <c r="O14" s="490" t="n">
        <v>263</v>
      </c>
      <c r="P14" s="489" t="n">
        <v>34111.43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489" t="n">
        <v>4299.5</v>
      </c>
      <c r="W14" s="488" t="n"/>
      <c r="X14" s="483" t="n"/>
      <c r="Y14" s="313" t="n">
        <v>43828.12</v>
      </c>
      <c r="Z14" s="75">
        <f>Y14/1.15</f>
        <v/>
      </c>
      <c r="AA14" s="487" t="n"/>
      <c r="AB14" s="313" t="n">
        <v>22574.5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489" t="n">
        <v>146686.49</v>
      </c>
      <c r="C15" s="489" t="n">
        <v>147176.59</v>
      </c>
      <c r="D15" s="489" t="n">
        <v>152846.04</v>
      </c>
      <c r="E15" s="86">
        <f>IFERROR((SUM(B15-C15)/C15),0)</f>
        <v/>
      </c>
      <c r="F15" s="489" t="n">
        <v>600173.42</v>
      </c>
      <c r="G15" s="489" t="n">
        <v>120419.88</v>
      </c>
      <c r="H15" s="467">
        <f>IFERROR((SUM(B15-G15)/G15),0)</f>
        <v/>
      </c>
      <c r="I15" s="86">
        <f>IFERROR((SUM(B15-D15)/D15),0)</f>
        <v/>
      </c>
      <c r="J15" s="489" t="n">
        <v>449</v>
      </c>
      <c r="K15" s="84">
        <f>IFERROR(B15/J15,0)</f>
        <v/>
      </c>
      <c r="L15" s="490" t="n">
        <v>39</v>
      </c>
      <c r="M15" s="489" t="n">
        <v>2623.44</v>
      </c>
      <c r="N15" s="89">
        <f>IFERROR(M15/J15,0)</f>
        <v/>
      </c>
      <c r="O15" s="490" t="n">
        <v>82</v>
      </c>
      <c r="P15" s="489" t="n">
        <v>9611.52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489" t="n">
        <v>3608.5</v>
      </c>
      <c r="W15" s="488" t="n"/>
      <c r="X15" s="483" t="n"/>
      <c r="Y15" s="313" t="n">
        <v>23209.67</v>
      </c>
      <c r="Z15" s="75">
        <f>Y15/1.15</f>
        <v/>
      </c>
      <c r="AA15" s="487" t="n"/>
      <c r="AB15" s="313" t="n">
        <v>26827.25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210413.06</v>
      </c>
      <c r="C5" s="489" t="n">
        <v>200471.92</v>
      </c>
      <c r="D5" s="489" t="n">
        <v>166877.21</v>
      </c>
      <c r="E5" s="86">
        <f>IFERROR((SUM(B5-C5)/C5),0)</f>
        <v/>
      </c>
      <c r="F5" s="310" t="n">
        <v>150987.2</v>
      </c>
      <c r="G5" s="310" t="n">
        <v>179551.44</v>
      </c>
      <c r="H5" s="467">
        <f>IFERROR((SUM(B5-G5)/G5),0)</f>
        <v/>
      </c>
      <c r="I5" s="86">
        <f>IFERROR((SUM(B5-D5)/D5),0)</f>
        <v/>
      </c>
      <c r="J5" s="310" t="n">
        <v>613</v>
      </c>
      <c r="K5" s="84">
        <f>IFERROR(B5/J5,0)</f>
        <v/>
      </c>
      <c r="L5" s="490" t="n"/>
      <c r="M5" s="490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2080.15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23373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226130.92</v>
      </c>
      <c r="C6" s="489" t="n">
        <v>227736.26</v>
      </c>
      <c r="D6" s="489" t="n">
        <v>317233.92</v>
      </c>
      <c r="E6" s="86">
        <f>IFERROR((SUM(B6-C6)/C6),0)</f>
        <v/>
      </c>
      <c r="F6" s="310" t="n">
        <v>162935.47</v>
      </c>
      <c r="G6" s="310" t="n">
        <v>231306.95</v>
      </c>
      <c r="H6" s="467">
        <f>IFERROR((SUM(B6-G6)/G6),0)</f>
        <v/>
      </c>
      <c r="I6" s="86">
        <f>IFERROR((SUM(B6-D6)/D6),0)</f>
        <v/>
      </c>
      <c r="J6" s="310" t="n">
        <v>637</v>
      </c>
      <c r="K6" s="84">
        <f>IFERROR(B6/J6,0)</f>
        <v/>
      </c>
      <c r="L6" s="490" t="n">
        <v>52</v>
      </c>
      <c r="M6" s="310" t="n">
        <v>9073.059999999999</v>
      </c>
      <c r="N6" s="89">
        <f>IFERROR(M7/J6,0)</f>
        <v/>
      </c>
      <c r="O6" s="490" t="n">
        <v>197</v>
      </c>
      <c r="P6" s="310" t="n">
        <v>6127.83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7875.15</v>
      </c>
      <c r="W6" s="488" t="n"/>
      <c r="X6" s="483" t="n"/>
      <c r="Y6" s="310" t="n">
        <v>43115.61</v>
      </c>
      <c r="Z6" s="75">
        <f>Y6/1.15</f>
        <v/>
      </c>
      <c r="AA6" s="487" t="n"/>
      <c r="AB6" s="310" t="n">
        <v>28030.5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229601.65</v>
      </c>
      <c r="C7" s="489" t="n">
        <v>234482.01</v>
      </c>
      <c r="D7" s="489" t="n">
        <v>254835.6</v>
      </c>
      <c r="E7" s="86">
        <f>IFERROR((SUM(B7-C7)/C7),0)</f>
        <v/>
      </c>
      <c r="F7" s="310" t="n">
        <v>181310.32</v>
      </c>
      <c r="G7" s="310" t="n">
        <v>251460.54</v>
      </c>
      <c r="H7" s="467">
        <f>IFERROR((SUM(B7-G7)/G7),0)</f>
        <v/>
      </c>
      <c r="I7" s="86">
        <f>IFERROR((SUM(B7-D7)/D7),0)</f>
        <v/>
      </c>
      <c r="J7" s="310" t="n">
        <v>654</v>
      </c>
      <c r="K7" s="84">
        <f>IFERROR(B7/J7,0)</f>
        <v/>
      </c>
      <c r="L7" s="490" t="n">
        <v>21</v>
      </c>
      <c r="M7" s="310" t="n">
        <v>2407.77</v>
      </c>
      <c r="N7" s="89">
        <f>IFERROR(#REF!/J7,0)</f>
        <v/>
      </c>
      <c r="O7" s="490" t="n">
        <v>43</v>
      </c>
      <c r="P7" s="310" t="n">
        <v>1413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4895</v>
      </c>
      <c r="W7" s="488" t="n"/>
      <c r="X7" s="483" t="n"/>
      <c r="Y7" s="310" t="n">
        <v>44034</v>
      </c>
      <c r="Z7" s="75">
        <f>Y7/1.15</f>
        <v/>
      </c>
      <c r="AA7" s="487" t="n"/>
      <c r="AB7" s="310" t="n">
        <v>2049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128627.21</v>
      </c>
      <c r="C8" s="489" t="n">
        <v>157775.58</v>
      </c>
      <c r="D8" s="489" t="n">
        <v>125945.97</v>
      </c>
      <c r="E8" s="86">
        <f>IFERROR((SUM(B8-C8)/C8),0)</f>
        <v/>
      </c>
      <c r="F8" s="310" t="n">
        <v>85296.21000000001</v>
      </c>
      <c r="G8" s="310" t="n">
        <v>135199.23</v>
      </c>
      <c r="H8" s="467">
        <f>IFERROR((SUM(B8-G8)/G8),0)</f>
        <v/>
      </c>
      <c r="I8" s="86">
        <f>IFERROR((SUM(B8-D8)/D8),0)</f>
        <v/>
      </c>
      <c r="J8" s="310" t="n">
        <v>445</v>
      </c>
      <c r="K8" s="84">
        <f>IFERROR(B8/J8,0)</f>
        <v/>
      </c>
      <c r="L8" s="490" t="n">
        <v>84</v>
      </c>
      <c r="M8" s="310" t="n">
        <v>11441.65</v>
      </c>
      <c r="N8" s="89">
        <f>IFERROR(M8/J8,0)</f>
        <v/>
      </c>
      <c r="O8" s="490" t="n">
        <v>298</v>
      </c>
      <c r="P8" s="310" t="n">
        <v>6064.27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4467.5</v>
      </c>
      <c r="W8" s="486" t="n"/>
      <c r="X8" s="483" t="n"/>
      <c r="Y8" s="310" t="n">
        <v>31469.73</v>
      </c>
      <c r="Z8" s="75">
        <f>Y8/1.15</f>
        <v/>
      </c>
      <c r="AA8" s="487" t="n"/>
      <c r="AB8" s="310" t="n">
        <v>17777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206815.27</v>
      </c>
      <c r="C9" s="489" t="n">
        <v>201028.07</v>
      </c>
      <c r="D9" s="489" t="n">
        <v>243010.12</v>
      </c>
      <c r="E9" s="86">
        <f>IFERROR((SUM(B9-C9)/C9),0)</f>
        <v/>
      </c>
      <c r="F9" s="310" t="n">
        <v>159730.39</v>
      </c>
      <c r="G9" s="310" t="n">
        <v>219193.09</v>
      </c>
      <c r="H9" s="467">
        <f>IFERROR((SUM(B9-#REF!)/#REF!),0)</f>
        <v/>
      </c>
      <c r="I9" s="86">
        <f>IFERROR((SUM(B9-D9)/D9),0)</f>
        <v/>
      </c>
      <c r="J9" s="310" t="n">
        <v>691</v>
      </c>
      <c r="K9" s="84">
        <f>IFERROR(B9/J9,0)</f>
        <v/>
      </c>
      <c r="L9" s="490" t="n">
        <v>52</v>
      </c>
      <c r="M9" s="310" t="n">
        <v>5578.24</v>
      </c>
      <c r="N9" s="89">
        <f>IFERROR(M9/J9,0)</f>
        <v/>
      </c>
      <c r="O9" s="490" t="n">
        <v>147</v>
      </c>
      <c r="P9" s="310" t="n">
        <v>3150.93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4074.1</v>
      </c>
      <c r="W9" s="488" t="n"/>
      <c r="X9" s="483" t="n"/>
      <c r="Y9" s="310" t="n">
        <v>46914.7</v>
      </c>
      <c r="Z9" s="75">
        <f>Y9/1.15</f>
        <v/>
      </c>
      <c r="AA9" s="487" t="n"/>
      <c r="AB9" s="310" t="n">
        <v>30050.81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3" t="n"/>
      <c r="C10" s="489" t="n"/>
      <c r="D10" s="489" t="n">
        <v>191397.82</v>
      </c>
      <c r="E10" s="86">
        <f>IFERROR((SUM(B10-C10)/C10),0)</f>
        <v/>
      </c>
      <c r="F10" s="489" t="n"/>
      <c r="G10" s="310" t="n">
        <v>239082.84</v>
      </c>
      <c r="H10" s="467">
        <f>IFERROR((SUM(B10-G10)/G10),0)</f>
        <v/>
      </c>
      <c r="I10" s="86">
        <f>IFERROR((SUM(B11-D10)/D10),0)</f>
        <v/>
      </c>
      <c r="J10" s="489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489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153031.51</v>
      </c>
      <c r="C11" s="489" t="n">
        <v>147804.75</v>
      </c>
      <c r="D11" s="489" t="n">
        <v>86713.33</v>
      </c>
      <c r="E11" s="86">
        <f>IFERROR((SUM(B11-C11)/C11),0)</f>
        <v/>
      </c>
      <c r="F11" s="310" t="n">
        <v>103340.41</v>
      </c>
      <c r="G11" s="310" t="n">
        <v>149569.37</v>
      </c>
      <c r="H11" s="467">
        <f>IFERROR((SUM(B11-G11)/G11),0)</f>
        <v/>
      </c>
      <c r="I11" s="86">
        <f>IFERROR((SUM(#REF!-D11)/D11),0)</f>
        <v/>
      </c>
      <c r="J11" s="310" t="n">
        <v>528</v>
      </c>
      <c r="K11" s="84">
        <f>IFERROR(B12/J12,0)</f>
        <v/>
      </c>
      <c r="L11" s="490" t="n">
        <v>165</v>
      </c>
      <c r="M11" s="310" t="n">
        <v>27049.43</v>
      </c>
      <c r="N11" s="89">
        <f>IFERROR(M11/J12,0)</f>
        <v/>
      </c>
      <c r="O11" s="490" t="n">
        <v>635</v>
      </c>
      <c r="P11" s="310" t="n">
        <v>17200.84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3660.35</v>
      </c>
      <c r="W11" s="488" t="n"/>
      <c r="X11" s="483" t="n"/>
      <c r="Y11" s="310" t="n">
        <v>50175.39</v>
      </c>
      <c r="Z11" s="75">
        <f>Y12/1.15</f>
        <v/>
      </c>
      <c r="AA11" s="487" t="n"/>
      <c r="AB11" s="310" t="n">
        <v>30791.2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206815.27</v>
      </c>
      <c r="C12" s="489" t="n">
        <v>221187.54</v>
      </c>
      <c r="D12" s="489" t="n">
        <v>206751.49</v>
      </c>
      <c r="E12" s="86">
        <f>IFERROR((SUM(B12-C12)/C12),0)</f>
        <v/>
      </c>
      <c r="F12" s="310" t="n">
        <v>141744.9</v>
      </c>
      <c r="G12" s="310" t="n">
        <v>185670.54</v>
      </c>
      <c r="H12" s="467">
        <f>IFERROR((SUM(B12-#REF!)/#REF!),0)</f>
        <v/>
      </c>
      <c r="I12" s="86">
        <f>IFERROR((SUM(B12-D12)/D12),0)</f>
        <v/>
      </c>
      <c r="J12" s="310" t="n">
        <v>691</v>
      </c>
      <c r="K12" s="84">
        <f>IFERROR(B12/J12,0)</f>
        <v/>
      </c>
      <c r="L12" s="490" t="n">
        <v>173</v>
      </c>
      <c r="M12" s="310" t="n">
        <v>21282.71</v>
      </c>
      <c r="N12" s="89">
        <f>IFERROR(M12/J12,0)</f>
        <v/>
      </c>
      <c r="O12" s="490" t="n">
        <v>529</v>
      </c>
      <c r="P12" s="310" t="n">
        <v>13314.05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4074.1</v>
      </c>
      <c r="W12" s="486" t="n"/>
      <c r="X12" s="483" t="n"/>
      <c r="Y12" s="310" t="n">
        <v>46914.7</v>
      </c>
      <c r="Z12" s="75">
        <f>Y12/1.15</f>
        <v/>
      </c>
      <c r="AA12" s="487" t="n"/>
      <c r="AB12" s="310" t="n">
        <v>30050.81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178077.76</v>
      </c>
      <c r="C13" s="489" t="n">
        <v>189414.41</v>
      </c>
      <c r="D13" s="489" t="n"/>
      <c r="E13" s="86">
        <f>IFERROR((SUM(B13-C13)/C13),0)</f>
        <v/>
      </c>
      <c r="F13" s="310" t="n">
        <v>125878.46</v>
      </c>
      <c r="G13" s="310" t="n">
        <v>150423.43</v>
      </c>
      <c r="H13" s="467">
        <f>IFERROR((SUM(B13-G12)/G12),0)</f>
        <v/>
      </c>
      <c r="I13" s="86">
        <f>IFERROR((SUM(B13-D13)/D13),0)</f>
        <v/>
      </c>
      <c r="J13" s="310" t="n">
        <v>606</v>
      </c>
      <c r="K13" s="84">
        <f>IFERROR(B13/J13,0)</f>
        <v/>
      </c>
      <c r="L13" s="490" t="n">
        <v>84</v>
      </c>
      <c r="M13" s="310" t="n">
        <v>11483.36</v>
      </c>
      <c r="N13" s="89">
        <f>IFERROR(M13/J13,0)</f>
        <v/>
      </c>
      <c r="O13" s="490" t="n">
        <v>269</v>
      </c>
      <c r="P13" s="310" t="n">
        <v>7893.82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6174.75</v>
      </c>
      <c r="W13" s="486" t="n"/>
      <c r="X13" s="483" t="n"/>
      <c r="Y13" s="310" t="n">
        <v>29843.6</v>
      </c>
      <c r="Z13" s="75">
        <f>Y13/1.15</f>
        <v/>
      </c>
      <c r="AA13" s="487" t="n"/>
      <c r="AB13" s="310" t="n">
        <v>37155.1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159860.92</v>
      </c>
      <c r="C14" s="489" t="n">
        <v>142449.04</v>
      </c>
      <c r="D14" s="489" t="n">
        <v>144600.03</v>
      </c>
      <c r="E14" s="86">
        <f>IFERROR((SUM(B14-C14)/C14),0)</f>
        <v/>
      </c>
      <c r="F14" s="310" t="n">
        <v>118760.41</v>
      </c>
      <c r="G14" s="310" t="n">
        <v>158760.86</v>
      </c>
      <c r="H14" s="467">
        <f>IFERROR((SUM(B14-G14)/G14),0)</f>
        <v/>
      </c>
      <c r="I14" s="86">
        <f>IFERROR((SUM(B14-D14)/D14),0)</f>
        <v/>
      </c>
      <c r="J14" s="310" t="n">
        <v>443</v>
      </c>
      <c r="K14" s="84">
        <f>IFERROR(B14/J14,0)</f>
        <v/>
      </c>
      <c r="L14" s="490" t="n">
        <v>95</v>
      </c>
      <c r="M14" s="310" t="n">
        <v>5353.44</v>
      </c>
      <c r="N14" s="89">
        <f>IFERROR(M14/J14,0)</f>
        <v/>
      </c>
      <c r="O14" s="490" t="n">
        <v>263</v>
      </c>
      <c r="P14" s="310" t="n">
        <v>3883.9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4997.5</v>
      </c>
      <c r="W14" s="488" t="n"/>
      <c r="X14" s="483" t="n"/>
      <c r="Y14" s="310" t="n">
        <v>37251.45</v>
      </c>
      <c r="Z14" s="75">
        <f>Y14/1.15</f>
        <v/>
      </c>
      <c r="AA14" s="487" t="n"/>
      <c r="AB14" s="310" t="n">
        <v>24084.5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139059.18</v>
      </c>
      <c r="C15" s="489" t="n">
        <v>146686.49</v>
      </c>
      <c r="D15" s="489" t="n">
        <v>152846.04</v>
      </c>
      <c r="E15" s="86">
        <f>IFERROR((SUM(B15-C15)/C15),0)</f>
        <v/>
      </c>
      <c r="F15" s="310" t="n">
        <v>101060.73</v>
      </c>
      <c r="G15" s="310" t="n">
        <v>114469.5</v>
      </c>
      <c r="H15" s="467">
        <f>IFERROR((SUM(B15-G15)/G15),0)</f>
        <v/>
      </c>
      <c r="I15" s="86">
        <f>IFERROR((SUM(B15-D15)/D15),0)</f>
        <v/>
      </c>
      <c r="J15" s="310" t="n">
        <v>412</v>
      </c>
      <c r="K15" s="84">
        <f>IFERROR(B15/J15,0)</f>
        <v/>
      </c>
      <c r="L15" s="490" t="n">
        <v>39</v>
      </c>
      <c r="M15" s="310" t="n">
        <v>3794.75</v>
      </c>
      <c r="N15" s="89">
        <f>IFERROR(M15/J15,0)</f>
        <v/>
      </c>
      <c r="O15" s="490" t="n">
        <v>82</v>
      </c>
      <c r="P15" s="310" t="n">
        <v>3150.93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4122.9</v>
      </c>
      <c r="W15" s="488" t="n"/>
      <c r="X15" s="483" t="n"/>
      <c r="Y15" s="310" t="n">
        <v>24244.27</v>
      </c>
      <c r="Z15" s="75">
        <f>Y15/1.15</f>
        <v/>
      </c>
      <c r="AA15" s="487" t="n"/>
      <c r="AB15" s="310" t="n">
        <v>25598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181478.97</v>
      </c>
      <c r="C5" s="310" t="n">
        <v>210413.06</v>
      </c>
      <c r="D5" s="489" t="n">
        <v>166877.21</v>
      </c>
      <c r="E5" s="86">
        <f>IFERROR((SUM(B5-C5)/C5),0)</f>
        <v/>
      </c>
      <c r="F5" s="310" t="n">
        <v>332466.17</v>
      </c>
      <c r="G5" s="310" t="n">
        <v>184907.55</v>
      </c>
      <c r="H5" s="467">
        <f>IFERROR((SUM(B5-G5)/G5),0)</f>
        <v/>
      </c>
      <c r="I5" s="86">
        <f>IFERROR((SUM(B5-D5)/D5),0)</f>
        <v/>
      </c>
      <c r="J5" s="238" t="n">
        <v>555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3739.25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21626.5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199057.23</v>
      </c>
      <c r="C6" s="310" t="n">
        <v>226130.92</v>
      </c>
      <c r="D6" s="489" t="n">
        <v>317233.92</v>
      </c>
      <c r="E6" s="86">
        <f>IFERROR((SUM(B6-C6)/C6),0)</f>
        <v/>
      </c>
      <c r="F6" s="310" t="n">
        <v>361992.7</v>
      </c>
      <c r="G6" s="310" t="n">
        <v>203953.2</v>
      </c>
      <c r="H6" s="467">
        <f>IFERROR((SUM(B6-G6)/G6),0)</f>
        <v/>
      </c>
      <c r="I6" s="86">
        <f>IFERROR((SUM(B6-D6)/D6),0)</f>
        <v/>
      </c>
      <c r="J6" s="238" t="n">
        <v>595</v>
      </c>
      <c r="K6" s="84">
        <f>IFERROR(B6/J6,0)</f>
        <v/>
      </c>
      <c r="L6" s="490" t="n">
        <v>52</v>
      </c>
      <c r="M6" s="310" t="n">
        <v>6406.9</v>
      </c>
      <c r="N6" s="89">
        <f>IFERROR(M7/J6,0)</f>
        <v/>
      </c>
      <c r="O6" s="490" t="n">
        <v>197</v>
      </c>
      <c r="P6" s="310" t="n">
        <v>12534.73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10846.71</v>
      </c>
      <c r="W6" s="488" t="n"/>
      <c r="X6" s="483" t="n"/>
      <c r="Y6" s="310" t="n">
        <v>37323.1</v>
      </c>
      <c r="Z6" s="75">
        <f>Y6/1.15</f>
        <v/>
      </c>
      <c r="AA6" s="487" t="n"/>
      <c r="AB6" s="310" t="n">
        <v>24642.5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192032.06</v>
      </c>
      <c r="C7" s="310" t="n">
        <v>229601.65</v>
      </c>
      <c r="D7" s="489" t="n">
        <v>254835.6</v>
      </c>
      <c r="E7" s="86">
        <f>IFERROR((SUM(B7-C7)/C7),0)</f>
        <v/>
      </c>
      <c r="F7" s="310" t="n">
        <v>373342.38</v>
      </c>
      <c r="G7" s="310" t="n">
        <v>235189.99</v>
      </c>
      <c r="H7" s="467">
        <f>IFERROR((SUM(B7-G7)/G7),0)</f>
        <v/>
      </c>
      <c r="I7" s="86">
        <f>IFERROR((SUM(B7-D7)/D7),0)</f>
        <v/>
      </c>
      <c r="J7" s="238" t="n">
        <v>574</v>
      </c>
      <c r="K7" s="84">
        <f>IFERROR(B7/J7,0)</f>
        <v/>
      </c>
      <c r="L7" s="490" t="n">
        <v>21</v>
      </c>
      <c r="M7" s="310" t="n">
        <v>2055.21</v>
      </c>
      <c r="N7" s="89">
        <f>IFERROR(#REF!/J7,0)</f>
        <v/>
      </c>
      <c r="O7" s="490" t="n">
        <v>43</v>
      </c>
      <c r="P7" s="310" t="n">
        <v>3468.21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16859.5</v>
      </c>
      <c r="W7" s="488" t="n"/>
      <c r="X7" s="483" t="n"/>
      <c r="Y7" s="310" t="n">
        <v>47914.75</v>
      </c>
      <c r="Z7" s="75">
        <f>Y7/1.15</f>
        <v/>
      </c>
      <c r="AA7" s="487" t="n"/>
      <c r="AB7" s="310" t="n">
        <v>13467.25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116136.99</v>
      </c>
      <c r="C8" s="310" t="n">
        <v>128627.21</v>
      </c>
      <c r="D8" s="489" t="n">
        <v>125945.97</v>
      </c>
      <c r="E8" s="86">
        <f>IFERROR((SUM(B8-C8)/C8),0)</f>
        <v/>
      </c>
      <c r="F8" s="310" t="n">
        <v>201433.2</v>
      </c>
      <c r="G8" s="310" t="n">
        <v>126809.67</v>
      </c>
      <c r="H8" s="467">
        <f>IFERROR((SUM(B8-G8)/G8),0)</f>
        <v/>
      </c>
      <c r="I8" s="86">
        <f>IFERROR((SUM(B8-D8)/D8),0)</f>
        <v/>
      </c>
      <c r="J8" s="238" t="n">
        <v>406</v>
      </c>
      <c r="K8" s="84">
        <f>IFERROR(B8/J8,0)</f>
        <v/>
      </c>
      <c r="L8" s="490" t="n">
        <v>84</v>
      </c>
      <c r="M8" s="310" t="n">
        <v>11722.34</v>
      </c>
      <c r="N8" s="89">
        <f>IFERROR(M8/J8,0)</f>
        <v/>
      </c>
      <c r="O8" s="490" t="n">
        <v>298</v>
      </c>
      <c r="P8" s="310" t="n">
        <v>17786.61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5811.2</v>
      </c>
      <c r="W8" s="486" t="n"/>
      <c r="X8" s="483" t="n"/>
      <c r="Y8" s="310" t="n">
        <v>31576.2</v>
      </c>
      <c r="Z8" s="75">
        <f>Y8/1.15</f>
        <v/>
      </c>
      <c r="AA8" s="487" t="n"/>
      <c r="AB8" s="310" t="n">
        <v>22137.51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165245.82</v>
      </c>
      <c r="C9" s="310" t="n">
        <v>206815.27</v>
      </c>
      <c r="D9" s="489" t="n">
        <v>243010.12</v>
      </c>
      <c r="E9" s="86">
        <f>IFERROR((SUM(B9-C9)/C9),0)</f>
        <v/>
      </c>
      <c r="F9" s="310" t="n">
        <v>343928.51</v>
      </c>
      <c r="G9" s="310" t="n">
        <v>187198.42</v>
      </c>
      <c r="H9" s="467">
        <f>IFERROR((SUM(B9-#REF!)/#REF!),0)</f>
        <v/>
      </c>
      <c r="I9" s="86">
        <f>IFERROR((SUM(B9-D9)/D9),0)</f>
        <v/>
      </c>
      <c r="J9" s="310" t="n">
        <v>541</v>
      </c>
      <c r="K9" s="84">
        <f>IFERROR(B9/J9,0)</f>
        <v/>
      </c>
      <c r="L9" s="490" t="n">
        <v>52</v>
      </c>
      <c r="M9" s="310" t="n">
        <v>3482.46</v>
      </c>
      <c r="N9" s="89">
        <f>IFERROR(M9/J9,0)</f>
        <v/>
      </c>
      <c r="O9" s="490" t="n">
        <v>147</v>
      </c>
      <c r="P9" s="310" t="n">
        <v>6633.39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3290</v>
      </c>
      <c r="W9" s="488" t="n"/>
      <c r="X9" s="483" t="n"/>
      <c r="Y9" s="310" t="n">
        <v>22084.26</v>
      </c>
      <c r="Z9" s="75">
        <f>Y9/1.15</f>
        <v/>
      </c>
      <c r="AA9" s="487" t="n"/>
      <c r="AB9" s="310" t="n">
        <v>19332.66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3" t="n"/>
      <c r="D10" s="489" t="n">
        <v>191397.82</v>
      </c>
      <c r="E10" s="86">
        <f>IFERROR((SUM(B10-C10)/C10),0)</f>
        <v/>
      </c>
      <c r="F10" s="310" t="n"/>
      <c r="G10" s="310" t="n">
        <v>216698.51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137563.87</v>
      </c>
      <c r="C11" s="310" t="n">
        <v>153031.51</v>
      </c>
      <c r="D11" s="489" t="n">
        <v>86713.33</v>
      </c>
      <c r="E11" s="86">
        <f>IFERROR((SUM(B11-C11)/C11),0)</f>
        <v/>
      </c>
      <c r="F11" s="310" t="n">
        <v>240904.28</v>
      </c>
      <c r="G11" s="310" t="n">
        <v>124465.16</v>
      </c>
      <c r="H11" s="467">
        <f>IFERROR((SUM(B11-G11)/G11),0)</f>
        <v/>
      </c>
      <c r="I11" s="86">
        <f>IFERROR((SUM(#REF!-D11)/D11),0)</f>
        <v/>
      </c>
      <c r="J11" s="238" t="n">
        <v>411</v>
      </c>
      <c r="K11" s="84">
        <f>IFERROR(B12/J12,0)</f>
        <v/>
      </c>
      <c r="L11" s="490" t="n">
        <v>165</v>
      </c>
      <c r="M11" s="310" t="n">
        <v>18292.12</v>
      </c>
      <c r="N11" s="89">
        <f>IFERROR(M11/J12,0)</f>
        <v/>
      </c>
      <c r="O11" s="490" t="n">
        <v>635</v>
      </c>
      <c r="P11" s="310" t="n">
        <v>35492.96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3839.5</v>
      </c>
      <c r="W11" s="488" t="n"/>
      <c r="X11" s="483" t="n"/>
      <c r="Y11" s="310" t="n">
        <v>37350.43</v>
      </c>
      <c r="Z11" s="75">
        <f>Y12/1.15</f>
        <v/>
      </c>
      <c r="AA11" s="487" t="n"/>
      <c r="AB11" s="310" t="n">
        <v>27066.51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187763.51</v>
      </c>
      <c r="C12" s="310" t="n">
        <v>206815.27</v>
      </c>
      <c r="D12" s="489" t="n">
        <v>206751.49</v>
      </c>
      <c r="E12" s="86">
        <f>IFERROR((SUM(B12-C12)/C12),0)</f>
        <v/>
      </c>
      <c r="F12" s="310" t="n">
        <v>329508.41</v>
      </c>
      <c r="G12" s="310" t="n">
        <v>172893.17</v>
      </c>
      <c r="H12" s="467">
        <f>IFERROR((SUM(B12-#REF!)/#REF!),0)</f>
        <v/>
      </c>
      <c r="I12" s="86">
        <f>IFERROR((SUM(B12-D12)/D12),0)</f>
        <v/>
      </c>
      <c r="J12" s="238" t="n">
        <v>633</v>
      </c>
      <c r="K12" s="84">
        <f>IFERROR(B12/J12,0)</f>
        <v/>
      </c>
      <c r="L12" s="490" t="n">
        <v>173</v>
      </c>
      <c r="M12" s="310" t="n">
        <v>18605.55</v>
      </c>
      <c r="N12" s="89">
        <f>IFERROR(M12/J12,0)</f>
        <v/>
      </c>
      <c r="O12" s="490" t="n">
        <v>529</v>
      </c>
      <c r="P12" s="310" t="n">
        <v>31919.6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5079</v>
      </c>
      <c r="W12" s="486" t="n"/>
      <c r="X12" s="483" t="n"/>
      <c r="Y12" s="310" t="n">
        <v>39855.22</v>
      </c>
      <c r="Z12" s="75">
        <f>Y12/1.15</f>
        <v/>
      </c>
      <c r="AA12" s="487" t="n"/>
      <c r="AB12" s="310" t="n">
        <v>24783.1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156087.17</v>
      </c>
      <c r="C13" s="310" t="n">
        <v>178077.76</v>
      </c>
      <c r="D13" s="489" t="n"/>
      <c r="E13" s="86">
        <f>IFERROR((SUM(B13-C13)/C13),0)</f>
        <v/>
      </c>
      <c r="F13" s="310" t="n">
        <v>281965.63</v>
      </c>
      <c r="G13" s="310" t="n">
        <v>153986.01</v>
      </c>
      <c r="H13" s="467">
        <f>IFERROR((SUM(B13-G12)/G12),0)</f>
        <v/>
      </c>
      <c r="I13" s="86">
        <f>IFERROR((SUM(B13-D13)/D13),0)</f>
        <v/>
      </c>
      <c r="J13" s="238" t="n">
        <v>528</v>
      </c>
      <c r="K13" s="84">
        <f>IFERROR(B13/J13,0)</f>
        <v/>
      </c>
      <c r="L13" s="490" t="n">
        <v>84</v>
      </c>
      <c r="M13" s="310" t="n">
        <v>7463.17</v>
      </c>
      <c r="N13" s="89">
        <f>IFERROR(M13/J13,0)</f>
        <v/>
      </c>
      <c r="O13" s="490" t="n">
        <v>269</v>
      </c>
      <c r="P13" s="310" t="n">
        <v>15356.99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4824.6</v>
      </c>
      <c r="W13" s="486" t="n"/>
      <c r="X13" s="483" t="n"/>
      <c r="Y13" s="310" t="n">
        <v>26462.07</v>
      </c>
      <c r="Z13" s="75">
        <f>Y13/1.15</f>
        <v/>
      </c>
      <c r="AA13" s="487" t="n"/>
      <c r="AB13" s="310" t="n">
        <v>27124.32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126323.85</v>
      </c>
      <c r="C14" s="310" t="n">
        <v>159860.92</v>
      </c>
      <c r="D14" s="489" t="n">
        <v>144600.03</v>
      </c>
      <c r="E14" s="86">
        <f>IFERROR((SUM(B14-C14)/C14),0)</f>
        <v/>
      </c>
      <c r="F14" s="310" t="n">
        <v>245084.26</v>
      </c>
      <c r="G14" s="310" t="n">
        <v>153790.65</v>
      </c>
      <c r="H14" s="467">
        <f>IFERROR((SUM(B14-G14)/G14),0)</f>
        <v/>
      </c>
      <c r="I14" s="86">
        <f>IFERROR((SUM(B14-D14)/D14),0)</f>
        <v/>
      </c>
      <c r="J14" s="238" t="n">
        <v>383</v>
      </c>
      <c r="K14" s="84">
        <f>IFERROR(B14/J14,0)</f>
        <v/>
      </c>
      <c r="L14" s="490" t="n">
        <v>95</v>
      </c>
      <c r="M14" s="310" t="n">
        <v>1034.15</v>
      </c>
      <c r="N14" s="89">
        <f>IFERROR(M14/J14,0)</f>
        <v/>
      </c>
      <c r="O14" s="490" t="n">
        <v>263</v>
      </c>
      <c r="P14" s="310" t="n">
        <v>10833.7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2930</v>
      </c>
      <c r="W14" s="488" t="n"/>
      <c r="X14" s="483" t="n"/>
      <c r="Y14" s="310" t="n">
        <v>29045.42</v>
      </c>
      <c r="Z14" s="75">
        <f>Y14/1.15</f>
        <v/>
      </c>
      <c r="AA14" s="487" t="n"/>
      <c r="AB14" s="310" t="n">
        <v>24549.5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120731.9</v>
      </c>
      <c r="C15" s="310" t="n">
        <v>139059.18</v>
      </c>
      <c r="D15" s="489" t="n">
        <v>152846.04</v>
      </c>
      <c r="E15" s="86">
        <f>IFERROR((SUM(B15-C15)/C15),0)</f>
        <v/>
      </c>
      <c r="F15" s="310" t="n">
        <v>221792.63</v>
      </c>
      <c r="G15" s="310" t="n">
        <v>120010.86</v>
      </c>
      <c r="H15" s="467">
        <f>IFERROR((SUM(B15-G15)/G15),0)</f>
        <v/>
      </c>
      <c r="I15" s="86">
        <f>IFERROR((SUM(B15-D15)/D15),0)</f>
        <v/>
      </c>
      <c r="J15" s="238" t="n">
        <v>392</v>
      </c>
      <c r="K15" s="84">
        <f>IFERROR(B15/J15,0)</f>
        <v/>
      </c>
      <c r="L15" s="490" t="n">
        <v>39</v>
      </c>
      <c r="M15" s="310" t="n">
        <v>2690.45</v>
      </c>
      <c r="N15" s="89">
        <f>IFERROR(M15/J15,0)</f>
        <v/>
      </c>
      <c r="O15" s="490" t="n">
        <v>82</v>
      </c>
      <c r="P15" s="310" t="n">
        <v>5176.53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3102</v>
      </c>
      <c r="W15" s="488" t="n"/>
      <c r="X15" s="483" t="n"/>
      <c r="Y15" s="310" t="n">
        <v>25218.42</v>
      </c>
      <c r="Z15" s="75">
        <f>Y15/1.15</f>
        <v/>
      </c>
      <c r="AA15" s="487" t="n"/>
      <c r="AB15" s="310" t="n">
        <v>24878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243499.44</v>
      </c>
      <c r="C5" s="310" t="n">
        <v>181478.97</v>
      </c>
      <c r="D5" s="489" t="n">
        <v>166877.21</v>
      </c>
      <c r="E5" s="86">
        <f>IFERROR((SUM(B5-C5)/C5),0)</f>
        <v/>
      </c>
      <c r="F5" s="310" t="n">
        <v>575965.61</v>
      </c>
      <c r="G5" s="310" t="n">
        <v>216553.12</v>
      </c>
      <c r="H5" s="467">
        <f>IFERROR((SUM(B5-G5)/G5),0)</f>
        <v/>
      </c>
      <c r="I5" s="86">
        <f>IFERROR((SUM(B5-D5)/D5),0)</f>
        <v/>
      </c>
      <c r="J5" s="310" t="n">
        <v>674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3015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25228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229137.44</v>
      </c>
      <c r="C6" s="310" t="n">
        <v>199057.23</v>
      </c>
      <c r="D6" s="489" t="n">
        <v>317233.92</v>
      </c>
      <c r="E6" s="86">
        <f>IFERROR((SUM(B6-C6)/C6),0)</f>
        <v/>
      </c>
      <c r="F6" s="310" t="n">
        <v>591130.14</v>
      </c>
      <c r="G6" s="310" t="n">
        <v>228284.19</v>
      </c>
      <c r="H6" s="467">
        <f>IFERROR((SUM(B6-G6)/G6),0)</f>
        <v/>
      </c>
      <c r="I6" s="86">
        <f>IFERROR((SUM(B6-D6)/D6),0)</f>
        <v/>
      </c>
      <c r="J6" s="310" t="n">
        <v>583</v>
      </c>
      <c r="K6" s="84">
        <f>IFERROR(B6/J6,0)</f>
        <v/>
      </c>
      <c r="L6" s="490" t="n">
        <v>52</v>
      </c>
      <c r="M6" s="310" t="n">
        <v>5979.19</v>
      </c>
      <c r="N6" s="89">
        <f>IFERROR(M7/J6,0)</f>
        <v/>
      </c>
      <c r="O6" s="490" t="n">
        <v>197</v>
      </c>
      <c r="P6" s="310" t="n">
        <v>18513.92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5819.4</v>
      </c>
      <c r="W6" s="488" t="n"/>
      <c r="X6" s="483" t="n"/>
      <c r="Y6" s="310" t="n">
        <v>35590.69</v>
      </c>
      <c r="Z6" s="75">
        <f>Y6/1.15</f>
        <v/>
      </c>
      <c r="AA6" s="487" t="n"/>
      <c r="AB6" s="310" t="n">
        <v>26674.12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302389.44</v>
      </c>
      <c r="C7" s="310" t="n">
        <v>192032.06</v>
      </c>
      <c r="D7" s="489" t="n">
        <v>254835.6</v>
      </c>
      <c r="E7" s="86">
        <f>IFERROR((SUM(B7-C7)/C7),0)</f>
        <v/>
      </c>
      <c r="F7" s="310" t="n">
        <v>675731.8199999999</v>
      </c>
      <c r="G7" s="310" t="n">
        <v>279205.43</v>
      </c>
      <c r="H7" s="467">
        <f>IFERROR((SUM(B7-G7)/G7),0)</f>
        <v/>
      </c>
      <c r="I7" s="86">
        <f>IFERROR((SUM(B7-D7)/D7),0)</f>
        <v/>
      </c>
      <c r="J7" s="310" t="n">
        <v>729</v>
      </c>
      <c r="K7" s="84">
        <f>IFERROR(B7/J7,0)</f>
        <v/>
      </c>
      <c r="L7" s="490" t="n">
        <v>21</v>
      </c>
      <c r="M7" s="310" t="n">
        <v>1478.7</v>
      </c>
      <c r="N7" s="89">
        <f>IFERROR(#REF!/J7,0)</f>
        <v/>
      </c>
      <c r="O7" s="490" t="n">
        <v>43</v>
      </c>
      <c r="P7" s="310" t="n">
        <v>4946.91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8764.950000000001</v>
      </c>
      <c r="W7" s="488" t="n"/>
      <c r="X7" s="483" t="n"/>
      <c r="Y7" s="310" t="n">
        <v>57880.58</v>
      </c>
      <c r="Z7" s="75">
        <f>Y7/1.15</f>
        <v/>
      </c>
      <c r="AA7" s="487" t="n"/>
      <c r="AB7" s="310" t="n">
        <v>762.75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136813.03</v>
      </c>
      <c r="C8" s="310" t="n">
        <v>116136.99</v>
      </c>
      <c r="D8" s="489" t="n">
        <v>125945.97</v>
      </c>
      <c r="E8" s="86">
        <f>IFERROR((SUM(B8-C8)/C8),0)</f>
        <v/>
      </c>
      <c r="F8" s="310" t="n">
        <v>338246.23</v>
      </c>
      <c r="G8" s="310" t="n">
        <v>128209.03</v>
      </c>
      <c r="H8" s="467">
        <f>IFERROR((SUM(B8-G8)/G8),0)</f>
        <v/>
      </c>
      <c r="I8" s="86">
        <f>IFERROR((SUM(B8-D8)/D8),0)</f>
        <v/>
      </c>
      <c r="J8" s="310" t="n">
        <v>432</v>
      </c>
      <c r="K8" s="84">
        <f>IFERROR(B8/J8,0)</f>
        <v/>
      </c>
      <c r="L8" s="490" t="n">
        <v>84</v>
      </c>
      <c r="M8" s="310" t="n">
        <v>10295.86</v>
      </c>
      <c r="N8" s="89">
        <f>IFERROR(M8/J8,0)</f>
        <v/>
      </c>
      <c r="O8" s="490" t="n">
        <v>298</v>
      </c>
      <c r="P8" s="310" t="n">
        <v>28082.47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5056</v>
      </c>
      <c r="W8" s="486" t="n"/>
      <c r="X8" s="483" t="n"/>
      <c r="Y8" s="310" t="n">
        <v>32400.04</v>
      </c>
      <c r="Z8" s="75">
        <f>Y8/1.15</f>
        <v/>
      </c>
      <c r="AA8" s="487" t="n"/>
      <c r="AB8" s="310" t="n">
        <v>24460.66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192771.42</v>
      </c>
      <c r="C9" s="310" t="n">
        <v>165245.82</v>
      </c>
      <c r="D9" s="489" t="n">
        <v>243010.12</v>
      </c>
      <c r="E9" s="86">
        <f>IFERROR((SUM(B9-C9)/C9),0)</f>
        <v/>
      </c>
      <c r="F9" s="310" t="n">
        <v>536699.9300000001</v>
      </c>
      <c r="G9" s="310" t="n">
        <v>204276.87</v>
      </c>
      <c r="H9" s="467">
        <f>IFERROR((SUM(B9-#REF!)/#REF!),0)</f>
        <v/>
      </c>
      <c r="I9" s="86">
        <f>IFERROR((SUM(B9-D9)/D9),0)</f>
        <v/>
      </c>
      <c r="J9" s="310" t="n">
        <v>584</v>
      </c>
      <c r="K9" s="84">
        <f>IFERROR(B9/J9,0)</f>
        <v/>
      </c>
      <c r="L9" s="490" t="n">
        <v>52</v>
      </c>
      <c r="M9" s="310" t="n">
        <v>3099.75</v>
      </c>
      <c r="N9" s="89">
        <f>IFERROR(M9/J9,0)</f>
        <v/>
      </c>
      <c r="O9" s="490" t="n">
        <v>147</v>
      </c>
      <c r="P9" s="310" t="n">
        <v>9941.83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4006.15</v>
      </c>
      <c r="W9" s="488" t="n"/>
      <c r="X9" s="483" t="n"/>
      <c r="Y9" s="310" t="n">
        <v>30094.61</v>
      </c>
      <c r="Z9" s="75">
        <f>Y9/1.15</f>
        <v/>
      </c>
      <c r="AA9" s="487" t="n"/>
      <c r="AB9" s="310" t="n">
        <v>31529.94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221679.83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90" t="n"/>
      <c r="M10" s="489" t="n"/>
      <c r="N10" s="89">
        <f>IFERROR(M10/J11,0)</f>
        <v/>
      </c>
      <c r="O10" s="490" t="n"/>
      <c r="P10" s="479" t="n"/>
      <c r="Q10" s="89">
        <f>IFERROR(P10/SUM(J11),0)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Y11/1.15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115294.34</v>
      </c>
      <c r="C11" s="310" t="n">
        <v>137563.87</v>
      </c>
      <c r="D11" s="489" t="n">
        <v>86713.33</v>
      </c>
      <c r="E11" s="86">
        <f>IFERROR((SUM(B11-C11)/C11),0)</f>
        <v/>
      </c>
      <c r="F11" s="310" t="n">
        <v>356198.62</v>
      </c>
      <c r="G11" s="310" t="n">
        <v>113165.51</v>
      </c>
      <c r="H11" s="467">
        <f>IFERROR((SUM(B11-G11)/G11),0)</f>
        <v/>
      </c>
      <c r="I11" s="86">
        <f>IFERROR((SUM(#REF!-D11)/D11),0)</f>
        <v/>
      </c>
      <c r="J11" s="310" t="n">
        <v>404</v>
      </c>
      <c r="K11" s="84">
        <f>IFERROR(B12/J12,0)</f>
        <v/>
      </c>
      <c r="L11" s="490" t="n">
        <v>165</v>
      </c>
      <c r="M11" s="310" t="n">
        <v>11892.94</v>
      </c>
      <c r="N11" s="89">
        <f>IFERROR(M11/J12,0)</f>
        <v/>
      </c>
      <c r="O11" s="490" t="n">
        <v>635</v>
      </c>
      <c r="P11" s="310" t="n">
        <v>47385.9</v>
      </c>
      <c r="Q11" s="89">
        <f>IFERROR(P11/SUM(J12),0)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2969</v>
      </c>
      <c r="W11" s="488" t="n"/>
      <c r="X11" s="483" t="n"/>
      <c r="Y11" s="310" t="n">
        <v>38773.24</v>
      </c>
      <c r="Z11" s="75">
        <f>Y12/1.15</f>
        <v/>
      </c>
      <c r="AA11" s="487" t="n"/>
      <c r="AB11" s="310" t="n">
        <v>22538.58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185620.15</v>
      </c>
      <c r="C12" s="310" t="n">
        <v>187763.51</v>
      </c>
      <c r="D12" s="489" t="n">
        <v>206751.49</v>
      </c>
      <c r="E12" s="86">
        <f>IFERROR((SUM(B12-C12)/C12),0)</f>
        <v/>
      </c>
      <c r="F12" s="310" t="n">
        <v>515128.56</v>
      </c>
      <c r="G12" s="310" t="n">
        <v>168308.93</v>
      </c>
      <c r="H12" s="467">
        <f>IFERROR((SUM(B12-#REF!)/#REF!),0)</f>
        <v/>
      </c>
      <c r="I12" s="86">
        <f>IFERROR((SUM(B12-D12)/D12),0)</f>
        <v/>
      </c>
      <c r="J12" s="310" t="n">
        <v>573</v>
      </c>
      <c r="K12" s="84">
        <f>IFERROR(B12/J12,0)</f>
        <v/>
      </c>
      <c r="L12" s="490" t="n">
        <v>173</v>
      </c>
      <c r="M12" s="310" t="n">
        <v>16569.68</v>
      </c>
      <c r="N12" s="89">
        <f>IFERROR(M12/J12,0)</f>
        <v/>
      </c>
      <c r="O12" s="490" t="n">
        <v>529</v>
      </c>
      <c r="P12" s="310" t="n">
        <v>48489.28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6259.85</v>
      </c>
      <c r="W12" s="486" t="n"/>
      <c r="X12" s="483" t="n"/>
      <c r="Y12" s="310" t="n">
        <v>37646.47</v>
      </c>
      <c r="Z12" s="75">
        <f>Y12/1.15</f>
        <v/>
      </c>
      <c r="AA12" s="487" t="n"/>
      <c r="AB12" s="310" t="n">
        <v>29843.7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146978.96</v>
      </c>
      <c r="C13" s="310" t="n">
        <v>156087.17</v>
      </c>
      <c r="D13" s="489" t="n"/>
      <c r="E13" s="86">
        <f>IFERROR((SUM(B13-C13)/C13),0)</f>
        <v/>
      </c>
      <c r="F13" s="310" t="n">
        <v>428944.59</v>
      </c>
      <c r="G13" s="310" t="n">
        <v>146831.6</v>
      </c>
      <c r="H13" s="467">
        <f>IFERROR((SUM(B13-G12)/G12),0)</f>
        <v/>
      </c>
      <c r="I13" s="86">
        <f>IFERROR((SUM(B13-D13)/D13),0)</f>
        <v/>
      </c>
      <c r="J13" s="310" t="n">
        <v>490</v>
      </c>
      <c r="K13" s="84">
        <f>IFERROR(B13/J13,0)</f>
        <v/>
      </c>
      <c r="L13" s="490" t="n">
        <v>84</v>
      </c>
      <c r="M13" s="310" t="n">
        <v>8732.68</v>
      </c>
      <c r="N13" s="89">
        <f>IFERROR(M13/J13,0)</f>
        <v/>
      </c>
      <c r="O13" s="490" t="n">
        <v>269</v>
      </c>
      <c r="P13" s="310" t="n">
        <v>24089.67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6122.35</v>
      </c>
      <c r="W13" s="486" t="n"/>
      <c r="X13" s="483" t="n"/>
      <c r="Y13" s="310" t="n">
        <v>21514.79</v>
      </c>
      <c r="Z13" s="75">
        <f>Y13/1.15</f>
        <v/>
      </c>
      <c r="AA13" s="487" t="n"/>
      <c r="AB13" s="310" t="n">
        <v>26692.05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147917.28</v>
      </c>
      <c r="C14" s="310" t="n">
        <v>126323.85</v>
      </c>
      <c r="D14" s="489" t="n">
        <v>144600.03</v>
      </c>
      <c r="E14" s="86">
        <f>IFERROR((SUM(B14-C14)/C14),0)</f>
        <v/>
      </c>
      <c r="F14" s="310" t="n">
        <v>393001.54</v>
      </c>
      <c r="G14" s="310" t="n">
        <v>146503.88</v>
      </c>
      <c r="H14" s="467">
        <f>IFERROR((SUM(B14-G14)/G14),0)</f>
        <v/>
      </c>
      <c r="I14" s="86">
        <f>IFERROR((SUM(B14-D14)/D14),0)</f>
        <v/>
      </c>
      <c r="J14" s="310" t="n">
        <v>430</v>
      </c>
      <c r="K14" s="84">
        <f>IFERROR(B14/J14,0)</f>
        <v/>
      </c>
      <c r="L14" s="490" t="n">
        <v>95</v>
      </c>
      <c r="M14" s="310" t="n">
        <v>6761.29</v>
      </c>
      <c r="N14" s="89">
        <f>IFERROR(M14/J14,0)</f>
        <v/>
      </c>
      <c r="O14" s="490" t="n">
        <v>263</v>
      </c>
      <c r="P14" s="310" t="n">
        <v>17594.99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5556.6</v>
      </c>
      <c r="W14" s="488" t="n"/>
      <c r="X14" s="483" t="n"/>
      <c r="Y14" s="310" t="n">
        <v>31390.27</v>
      </c>
      <c r="Z14" s="75">
        <f>Y14/1.15</f>
        <v/>
      </c>
      <c r="AA14" s="487" t="n"/>
      <c r="AB14" s="310" t="n">
        <v>37484.15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125594.26</v>
      </c>
      <c r="C15" s="310" t="n">
        <v>120731.9</v>
      </c>
      <c r="D15" s="489" t="n">
        <v>152846.04</v>
      </c>
      <c r="E15" s="86">
        <f>IFERROR((SUM(B15-C15)/C15),0)</f>
        <v/>
      </c>
      <c r="F15" s="310" t="n">
        <v>347386.89</v>
      </c>
      <c r="G15" s="310" t="n">
        <v>103901.14</v>
      </c>
      <c r="H15" s="467">
        <f>IFERROR((SUM(B15-G15)/G15),0)</f>
        <v/>
      </c>
      <c r="I15" s="86">
        <f>IFERROR((SUM(B15-D15)/D15),0)</f>
        <v/>
      </c>
      <c r="J15" s="310" t="n">
        <v>381</v>
      </c>
      <c r="K15" s="84">
        <f>IFERROR(B15/J15,0)</f>
        <v/>
      </c>
      <c r="L15" s="490" t="n">
        <v>39</v>
      </c>
      <c r="M15" s="310" t="n">
        <v>2026.74</v>
      </c>
      <c r="N15" s="89">
        <f>IFERROR(M15/J15,0)</f>
        <v/>
      </c>
      <c r="O15" s="490" t="n">
        <v>82</v>
      </c>
      <c r="P15" s="310" t="n">
        <v>7203.27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3880</v>
      </c>
      <c r="W15" s="488" t="n"/>
      <c r="X15" s="483" t="n"/>
      <c r="Y15" s="310" t="n">
        <v>18392.83</v>
      </c>
      <c r="Z15" s="75">
        <f>Y15/1.15</f>
        <v/>
      </c>
      <c r="AA15" s="487" t="n"/>
      <c r="AB15" s="310" t="n">
        <v>21538.5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baseColWidth="8" defaultRowHeight="14.4"/>
  <cols>
    <col width="23" customWidth="1" min="1" max="1"/>
    <col width="21.664062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1.5546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5.8867187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9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221631.03</v>
      </c>
      <c r="C5" s="310" t="n">
        <v>243499.44</v>
      </c>
      <c r="D5" s="489" t="n">
        <v>166877.21</v>
      </c>
      <c r="E5" s="86">
        <f>IFERROR((SUM(B5-C5)/C5),0)</f>
        <v/>
      </c>
      <c r="F5" s="310" t="n">
        <v>797596.64</v>
      </c>
      <c r="G5" s="310" t="n">
        <v>201252.54</v>
      </c>
      <c r="H5" s="467">
        <f>IFERROR((SUM(B5-G5)/G5),0)</f>
        <v/>
      </c>
      <c r="I5" s="86">
        <f>IFERROR((SUM(B5-D5)/D5),0)</f>
        <v/>
      </c>
      <c r="J5" s="310" t="n">
        <v>623</v>
      </c>
      <c r="K5" s="84">
        <f>IFERROR(B5/J5,0)</f>
        <v/>
      </c>
      <c r="L5" s="490" t="n"/>
      <c r="M5" s="489" t="n"/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2723.7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23914.5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219847.95</v>
      </c>
      <c r="C6" s="310" t="n">
        <v>229137.44</v>
      </c>
      <c r="D6" s="489" t="n">
        <v>317233.92</v>
      </c>
      <c r="E6" s="86">
        <f>IFERROR((SUM(B6-C6)/C6),0)</f>
        <v/>
      </c>
      <c r="F6" s="310" t="n">
        <v>810978.09</v>
      </c>
      <c r="G6" s="310" t="n">
        <v>255011.06</v>
      </c>
      <c r="H6" s="467">
        <f>IFERROR((SUM(B6-G6)/G6),0)</f>
        <v/>
      </c>
      <c r="I6" s="86">
        <f>IFERROR((SUM(B6-D6)/D6),0)</f>
        <v/>
      </c>
      <c r="J6" s="310" t="n">
        <v>614</v>
      </c>
      <c r="K6" s="84">
        <f>IFERROR(B6/J6,0)</f>
        <v/>
      </c>
      <c r="L6" s="310" t="n">
        <v>106</v>
      </c>
      <c r="M6" s="310" t="n">
        <v>10636.7</v>
      </c>
      <c r="N6" s="479">
        <f>IFERROR(M7/J6,0)</f>
        <v/>
      </c>
      <c r="O6" s="310" t="n">
        <v>300</v>
      </c>
      <c r="P6" s="310" t="n">
        <v>29150.62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5925.85</v>
      </c>
      <c r="W6" s="488" t="n"/>
      <c r="X6" s="483" t="n"/>
      <c r="Y6" s="310" t="n">
        <v>47429.73</v>
      </c>
      <c r="Z6" s="75">
        <f>Y6/1.15</f>
        <v/>
      </c>
      <c r="AA6" s="487" t="n"/>
      <c r="AB6" s="310" t="n">
        <v>22444.65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263562.12</v>
      </c>
      <c r="C7" s="310" t="n">
        <v>302389.44</v>
      </c>
      <c r="D7" s="489" t="n">
        <v>254835.6</v>
      </c>
      <c r="E7" s="86">
        <f>IFERROR((SUM(B7-C7)/C7),0)</f>
        <v/>
      </c>
      <c r="F7" s="310" t="n">
        <v>939293.9399999999</v>
      </c>
      <c r="G7" s="310" t="n">
        <v>244636.68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31</v>
      </c>
      <c r="M7" s="310" t="n">
        <v>2886.91</v>
      </c>
      <c r="N7" s="479">
        <f>IFERROR(#REF!/J7,0)</f>
        <v/>
      </c>
      <c r="O7" s="310" t="n">
        <v>97</v>
      </c>
      <c r="P7" s="310" t="n">
        <v>7833.82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3941.25</v>
      </c>
      <c r="W7" s="488" t="n"/>
      <c r="X7" s="483" t="n"/>
      <c r="Y7" s="310" t="n">
        <v>57075.28</v>
      </c>
      <c r="Z7" s="75">
        <f>Y7/1.15</f>
        <v/>
      </c>
      <c r="AA7" s="487" t="n"/>
      <c r="AB7" s="310" t="n">
        <v>4237.5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159785.89</v>
      </c>
      <c r="C8" s="310" t="n">
        <v>136813.03</v>
      </c>
      <c r="D8" s="489" t="n">
        <v>125945.97</v>
      </c>
      <c r="E8" s="86">
        <f>IFERROR((SUM(B8-C8)/C8),0)</f>
        <v/>
      </c>
      <c r="F8" s="310" t="n">
        <v>498032.12</v>
      </c>
      <c r="G8" s="310" t="n">
        <v>157349.42</v>
      </c>
      <c r="H8" s="467">
        <f>IFERROR((SUM(B8-G8)/G8),0)</f>
        <v/>
      </c>
      <c r="I8" s="86">
        <f>IFERROR((SUM(B8-D8)/D8),0)</f>
        <v/>
      </c>
      <c r="J8" s="310" t="n">
        <v>459</v>
      </c>
      <c r="K8" s="84">
        <f>IFERROR(B8/J8,0)</f>
        <v/>
      </c>
      <c r="L8" s="310" t="n">
        <v>138</v>
      </c>
      <c r="M8" s="310" t="n">
        <v>13995.81</v>
      </c>
      <c r="N8" s="479">
        <f>IFERROR(M8/J8,0)</f>
        <v/>
      </c>
      <c r="O8" s="310" t="n">
        <v>414</v>
      </c>
      <c r="P8" s="310" t="n">
        <v>42078.28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3238</v>
      </c>
      <c r="W8" s="486" t="n"/>
      <c r="X8" s="483" t="n"/>
      <c r="Y8" s="310" t="n">
        <v>34874.25</v>
      </c>
      <c r="Z8" s="75">
        <f>Y8/1.15</f>
        <v/>
      </c>
      <c r="AA8" s="487" t="n"/>
      <c r="AB8" s="310" t="n">
        <v>23776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199326.5</v>
      </c>
      <c r="C9" s="310" t="n">
        <v>192771.42</v>
      </c>
      <c r="D9" s="489" t="n">
        <v>243010.12</v>
      </c>
      <c r="E9" s="86">
        <f>IFERROR((SUM(B9-C9)/C9),0)</f>
        <v/>
      </c>
      <c r="F9" s="310" t="n">
        <v>736026.4300000001</v>
      </c>
      <c r="G9" s="310" t="n">
        <v>213216.87</v>
      </c>
      <c r="H9" s="467">
        <f>IFERROR((SUM(B9-#REF!)/#REF!),0)</f>
        <v/>
      </c>
      <c r="I9" s="86">
        <f>IFERROR((SUM(B9-D9)/D9),0)</f>
        <v/>
      </c>
      <c r="J9" s="310" t="n">
        <v>641</v>
      </c>
      <c r="K9" s="84">
        <f>IFERROR(B9/J9,0)</f>
        <v/>
      </c>
      <c r="L9" s="310" t="n">
        <v>41</v>
      </c>
      <c r="M9" s="310" t="n">
        <v>4392.34</v>
      </c>
      <c r="N9" s="479">
        <f>IFERROR(M9/J9,0)</f>
        <v/>
      </c>
      <c r="O9" s="310" t="n">
        <v>155</v>
      </c>
      <c r="P9" s="310" t="n">
        <v>14334.17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5030.5</v>
      </c>
      <c r="W9" s="488" t="n"/>
      <c r="X9" s="483" t="n"/>
      <c r="Y9" s="310" t="n">
        <v>27585.29</v>
      </c>
      <c r="Z9" s="75">
        <f>Y9/1.15</f>
        <v/>
      </c>
      <c r="AA9" s="487" t="n"/>
      <c r="AB9" s="310" t="n">
        <v>35567.5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257292.91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Y11/1.15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146351.63</v>
      </c>
      <c r="C11" s="310" t="n">
        <v>115294.34</v>
      </c>
      <c r="D11" s="489" t="n">
        <v>86713.33</v>
      </c>
      <c r="E11" s="86">
        <f>IFERROR((SUM(B11-C11)/C11),0)</f>
        <v/>
      </c>
      <c r="F11" s="310" t="n">
        <v>502550.25</v>
      </c>
      <c r="G11" s="310" t="n">
        <v>133572.35</v>
      </c>
      <c r="H11" s="467">
        <f>IFERROR((SUM(B11-G11)/G11),0)</f>
        <v/>
      </c>
      <c r="I11" s="86">
        <f>IFERROR((SUM(#REF!-D11)/D11),0)</f>
        <v/>
      </c>
      <c r="J11" s="310" t="n">
        <v>421</v>
      </c>
      <c r="K11" s="84">
        <f>IFERROR(B12/J12,0)</f>
        <v/>
      </c>
      <c r="L11" s="310" t="n">
        <v>201</v>
      </c>
      <c r="M11" s="310" t="n">
        <v>19857.11</v>
      </c>
      <c r="N11" s="479">
        <f>IFERROR(M11/J12,0)</f>
        <v/>
      </c>
      <c r="O11" s="310" t="n">
        <v>698</v>
      </c>
      <c r="P11" s="310" t="n">
        <v>67243.00999999999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3927.1</v>
      </c>
      <c r="W11" s="488" t="n"/>
      <c r="X11" s="483" t="n"/>
      <c r="Y11" s="310" t="n">
        <v>47121.13</v>
      </c>
      <c r="Z11" s="75">
        <f>Y12/1.15</f>
        <v/>
      </c>
      <c r="AA11" s="487" t="n"/>
      <c r="AB11" s="310" t="n">
        <v>22015.6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200165.74</v>
      </c>
      <c r="C12" s="310" t="n">
        <v>185620.15</v>
      </c>
      <c r="D12" s="489" t="n">
        <v>206751.49</v>
      </c>
      <c r="E12" s="86">
        <f>IFERROR((SUM(B12-C12)/C12),0)</f>
        <v/>
      </c>
      <c r="F12" s="310" t="n">
        <v>715294.3</v>
      </c>
      <c r="G12" s="310" t="n">
        <v>203233.12</v>
      </c>
      <c r="H12" s="467">
        <f>IFERROR((SUM(B12-#REF!)/#REF!),0)</f>
        <v/>
      </c>
      <c r="I12" s="86">
        <f>IFERROR((SUM(B12-D12)/D12),0)</f>
        <v/>
      </c>
      <c r="J12" s="310" t="n">
        <v>650</v>
      </c>
      <c r="K12" s="84">
        <f>IFERROR(B12/J12,0)</f>
        <v/>
      </c>
      <c r="L12" s="310" t="n">
        <v>149</v>
      </c>
      <c r="M12" s="310" t="n">
        <v>14727.76</v>
      </c>
      <c r="N12" s="479">
        <f>IFERROR(M12/J12,0)</f>
        <v/>
      </c>
      <c r="O12" s="310" t="n">
        <v>668</v>
      </c>
      <c r="P12" s="310" t="n">
        <v>63217.04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4355.85</v>
      </c>
      <c r="W12" s="486" t="n"/>
      <c r="X12" s="483" t="n"/>
      <c r="Y12" s="310" t="n">
        <v>34768.15</v>
      </c>
      <c r="Z12" s="75">
        <f>Y12/1.15</f>
        <v/>
      </c>
      <c r="AA12" s="487" t="n"/>
      <c r="AB12" s="310" t="n">
        <v>26697.19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165920.05</v>
      </c>
      <c r="C13" s="310" t="n">
        <v>146978.96</v>
      </c>
      <c r="D13" s="489" t="n"/>
      <c r="E13" s="86">
        <f>IFERROR((SUM(B13-C13)/C13),0)</f>
        <v/>
      </c>
      <c r="F13" s="310" t="n">
        <v>594864.64</v>
      </c>
      <c r="G13" s="310" t="n">
        <v>157322.1</v>
      </c>
      <c r="H13" s="467">
        <f>IFERROR((SUM(B13-G12)/G12),0)</f>
        <v/>
      </c>
      <c r="I13" s="86">
        <f>IFERROR((SUM(B13-D13)/D13),0)</f>
        <v/>
      </c>
      <c r="J13" s="310" t="n">
        <v>561</v>
      </c>
      <c r="K13" s="84">
        <f>IFERROR(B13/J13,0)</f>
        <v/>
      </c>
      <c r="L13" s="310" t="n">
        <v>128</v>
      </c>
      <c r="M13" s="310" t="n">
        <v>11248.5</v>
      </c>
      <c r="N13" s="479">
        <f>IFERROR(M13/J13,0)</f>
        <v/>
      </c>
      <c r="O13" s="310" t="n">
        <v>411</v>
      </c>
      <c r="P13" s="310" t="n">
        <v>35338.17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4796</v>
      </c>
      <c r="W13" s="486" t="n"/>
      <c r="X13" s="483" t="n"/>
      <c r="Y13" s="310" t="n">
        <v>31889.14</v>
      </c>
      <c r="Z13" s="75">
        <f>Y13/1.15</f>
        <v/>
      </c>
      <c r="AA13" s="487" t="n"/>
      <c r="AB13" s="310" t="n">
        <v>35190.05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146592.33</v>
      </c>
      <c r="C14" s="310" t="n">
        <v>147917.28</v>
      </c>
      <c r="D14" s="489" t="n">
        <v>144600.03</v>
      </c>
      <c r="E14" s="86">
        <f>IFERROR((SUM(B14-C14)/C14),0)</f>
        <v/>
      </c>
      <c r="F14" s="310" t="n">
        <v>539593.87</v>
      </c>
      <c r="G14" s="310" t="n">
        <v>179262.21</v>
      </c>
      <c r="H14" s="467">
        <f>IFERROR((SUM(B14-G14)/G14),0)</f>
        <v/>
      </c>
      <c r="I14" s="86">
        <f>IFERROR((SUM(B14-D14)/D14),0)</f>
        <v/>
      </c>
      <c r="J14" s="310" t="n">
        <v>433</v>
      </c>
      <c r="K14" s="84">
        <f>IFERROR(B14/J14,0)</f>
        <v/>
      </c>
      <c r="L14" s="310" t="n">
        <v>86</v>
      </c>
      <c r="M14" s="310" t="n">
        <v>7338.08</v>
      </c>
      <c r="N14" s="479">
        <f>IFERROR(M14/J14,0)</f>
        <v/>
      </c>
      <c r="O14" s="310" t="n">
        <v>285</v>
      </c>
      <c r="P14" s="310" t="n">
        <v>24933.07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4109.9</v>
      </c>
      <c r="W14" s="488" t="n"/>
      <c r="X14" s="483" t="n"/>
      <c r="Y14" s="310" t="n">
        <v>39269.72</v>
      </c>
      <c r="Z14" s="75">
        <f>Y14/1.15</f>
        <v/>
      </c>
      <c r="AA14" s="487" t="n"/>
      <c r="AB14" s="310" t="n">
        <v>28526.25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130797.48</v>
      </c>
      <c r="C15" s="310" t="n">
        <v>125594.26</v>
      </c>
      <c r="D15" s="489" t="n">
        <v>152846.04</v>
      </c>
      <c r="E15" s="86">
        <f>IFERROR((SUM(B15-C15)/C15),0)</f>
        <v/>
      </c>
      <c r="F15" s="310" t="n">
        <v>478184.37</v>
      </c>
      <c r="G15" s="310" t="n">
        <v>140792.72</v>
      </c>
      <c r="H15" s="467">
        <f>IFERROR((SUM(B15-G15)/G15),0)</f>
        <v/>
      </c>
      <c r="I15" s="86">
        <f>IFERROR((SUM(B15-D15)/D15),0)</f>
        <v/>
      </c>
      <c r="J15" s="310" t="n">
        <v>388</v>
      </c>
      <c r="K15" s="84">
        <f>IFERROR(B15/J15,0)</f>
        <v/>
      </c>
      <c r="L15" s="310" t="n">
        <v>33</v>
      </c>
      <c r="M15" s="310" t="n">
        <v>3138.05</v>
      </c>
      <c r="N15" s="479">
        <f>IFERROR(M15/J15,0)</f>
        <v/>
      </c>
      <c r="O15" s="310" t="n">
        <v>115</v>
      </c>
      <c r="P15" s="310" t="n">
        <v>10341.32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2729.5</v>
      </c>
      <c r="W15" s="488" t="n"/>
      <c r="X15" s="483" t="n"/>
      <c r="Y15" s="310" t="n">
        <v>17851.77</v>
      </c>
      <c r="Z15" s="75">
        <f>Y15/1.15</f>
        <v/>
      </c>
      <c r="AA15" s="487" t="n"/>
      <c r="AB15" s="310" t="n">
        <v>23858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333142.98</v>
      </c>
      <c r="C5" s="310" t="n">
        <v>221631.03</v>
      </c>
      <c r="D5" s="489" t="n">
        <v>166877.21</v>
      </c>
      <c r="E5" s="86">
        <f>IFERROR((SUM(B5-C5)/C5),0)</f>
        <v/>
      </c>
      <c r="F5" s="310" t="n">
        <v>116428.03</v>
      </c>
      <c r="G5" s="311" t="n">
        <v>301643.55</v>
      </c>
      <c r="H5" s="467">
        <f>IFERROR((SUM(B5-G5)/G5),0)</f>
        <v/>
      </c>
      <c r="I5" s="86">
        <f>IFERROR((SUM(B5-D5)/D5),0)</f>
        <v/>
      </c>
      <c r="J5" s="311" t="n">
        <v>847</v>
      </c>
      <c r="K5" s="84">
        <f>IFERROR(B5/J5,0)</f>
        <v/>
      </c>
      <c r="N5" s="89">
        <f>IFERROR(M5/J5,0)</f>
        <v/>
      </c>
      <c r="O5" s="89" t="n"/>
      <c r="P5" s="477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1991.6</v>
      </c>
      <c r="W5" s="486" t="n"/>
      <c r="X5" s="483" t="n"/>
      <c r="Y5" s="75" t="n">
        <v>0</v>
      </c>
      <c r="Z5" s="75">
        <f>Y5/1.15</f>
        <v/>
      </c>
      <c r="AA5" s="487" t="n"/>
      <c r="AB5" s="311" t="n">
        <v>27360.5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233802.48</v>
      </c>
      <c r="C6" s="310" t="n">
        <v>219847.95</v>
      </c>
      <c r="D6" s="489" t="n">
        <v>317233.92</v>
      </c>
      <c r="E6" s="86">
        <f>IFERROR((SUM(B6-C6)/C6),0)</f>
        <v/>
      </c>
      <c r="F6" s="310" t="n">
        <v>74910.32000000001</v>
      </c>
      <c r="G6" s="311" t="n">
        <v>244557.62</v>
      </c>
      <c r="H6" s="467">
        <f>IFERROR((SUM(B6-G6)/G6),0)</f>
        <v/>
      </c>
      <c r="I6" s="86">
        <f>IFERROR((SUM(B6-D6)/D6),0)</f>
        <v/>
      </c>
      <c r="J6" s="311" t="n">
        <v>639</v>
      </c>
      <c r="K6" s="84">
        <f>IFERROR(B6/J6,0)</f>
        <v/>
      </c>
      <c r="L6" s="311" t="n">
        <v>114</v>
      </c>
      <c r="M6" s="310" t="n">
        <v>9859.120000000001</v>
      </c>
      <c r="N6" s="479">
        <f>IFERROR(M7/J6,0)</f>
        <v/>
      </c>
      <c r="O6" s="311" t="n">
        <v>367</v>
      </c>
      <c r="P6" s="310" t="n">
        <v>35393.06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6982.7</v>
      </c>
      <c r="W6" s="488" t="n"/>
      <c r="X6" s="483" t="n"/>
      <c r="Y6" s="311" t="n">
        <v>41989.08</v>
      </c>
      <c r="Z6" s="75">
        <f>Y6/1.15</f>
        <v/>
      </c>
      <c r="AA6" s="487" t="n"/>
      <c r="AB6" s="311" t="n">
        <v>28681.72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300875.84</v>
      </c>
      <c r="C7" s="310" t="n">
        <v>263562.12</v>
      </c>
      <c r="D7" s="489" t="n">
        <v>254835.6</v>
      </c>
      <c r="E7" s="86">
        <f>IFERROR((SUM(B7-C7)/C7),0)</f>
        <v/>
      </c>
      <c r="F7" s="310" t="n">
        <v>128176.91</v>
      </c>
      <c r="G7" s="311" t="n">
        <v>268572.24</v>
      </c>
      <c r="H7" s="467">
        <f>IFERROR((SUM(B7-G7)/G7),0)</f>
        <v/>
      </c>
      <c r="I7" s="86">
        <f>IFERROR((SUM(B7-D7)/D7),0)</f>
        <v/>
      </c>
      <c r="J7" s="311" t="n">
        <v>808</v>
      </c>
      <c r="K7" s="84">
        <f>IFERROR(B7/J7,0)</f>
        <v/>
      </c>
      <c r="L7" s="311" t="n">
        <v>41</v>
      </c>
      <c r="M7" s="310" t="n">
        <v>3960.59</v>
      </c>
      <c r="N7" s="479">
        <f>IFERROR(#REF!/J7,0)</f>
        <v/>
      </c>
      <c r="O7" s="311" t="n">
        <v>125</v>
      </c>
      <c r="P7" s="310" t="n">
        <v>10525.29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5447.65</v>
      </c>
      <c r="W7" s="488" t="n"/>
      <c r="X7" s="483" t="n"/>
      <c r="Y7" s="311" t="n">
        <v>57191.05</v>
      </c>
      <c r="Z7" s="75">
        <f>Y7/1.15</f>
        <v/>
      </c>
      <c r="AA7" s="487" t="n"/>
      <c r="AB7" s="311" t="n">
        <v>4386.1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>
        <v>173301.53</v>
      </c>
      <c r="C8" s="310" t="n">
        <v>159785.89</v>
      </c>
      <c r="D8" s="489" t="n">
        <v>125945.97</v>
      </c>
      <c r="E8" s="86">
        <f>IFERROR((SUM(B8-C8)/C8),0)</f>
        <v/>
      </c>
      <c r="F8" s="310" t="n">
        <v>52368.39</v>
      </c>
      <c r="G8" s="311" t="n">
        <v>190587.81</v>
      </c>
      <c r="H8" s="467">
        <f>IFERROR((SUM(B8-G8)/G8),0)</f>
        <v/>
      </c>
      <c r="I8" s="86">
        <f>IFERROR((SUM(B8-D8)/D8),0)</f>
        <v/>
      </c>
      <c r="J8" s="311" t="n">
        <v>481</v>
      </c>
      <c r="K8" s="84">
        <f>IFERROR(B8/J8,0)</f>
        <v/>
      </c>
      <c r="L8" s="310" t="n">
        <v>110</v>
      </c>
      <c r="M8" s="310" t="n">
        <v>10403.58</v>
      </c>
      <c r="N8" s="479">
        <f>IFERROR(M8/J8,0)</f>
        <v/>
      </c>
      <c r="O8" s="311" t="n">
        <v>491</v>
      </c>
      <c r="P8" s="310" t="n">
        <v>49778.86</v>
      </c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>
        <v>5726.55</v>
      </c>
      <c r="W8" s="486" t="n"/>
      <c r="X8" s="483" t="n"/>
      <c r="Y8" s="311" t="n">
        <v>28951.15</v>
      </c>
      <c r="Z8" s="75">
        <f>Y8/1.15</f>
        <v/>
      </c>
      <c r="AA8" s="487" t="n"/>
      <c r="AB8" s="311" t="n">
        <v>29804.86</v>
      </c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236084.36</v>
      </c>
      <c r="C9" s="310" t="n">
        <v>199326.5</v>
      </c>
      <c r="D9" s="489" t="n">
        <v>243010.12</v>
      </c>
      <c r="E9" s="86">
        <f>IFERROR((SUM(B9-C9)/C9),0)</f>
        <v/>
      </c>
      <c r="F9" s="310" t="n">
        <v>53211.36</v>
      </c>
      <c r="G9" s="311" t="n">
        <v>237796.93</v>
      </c>
      <c r="H9" s="467">
        <f>IFERROR((SUM(B9-G9)/G9),0)</f>
        <v/>
      </c>
      <c r="I9" s="86">
        <f>IFERROR((SUM(B9-D9)/D9),0)</f>
        <v/>
      </c>
      <c r="J9" s="311" t="n">
        <v>719</v>
      </c>
      <c r="K9" s="84">
        <f>IFERROR(B9/J9,0)</f>
        <v/>
      </c>
      <c r="L9" s="311" t="n">
        <v>57</v>
      </c>
      <c r="M9" s="310" t="n">
        <v>5869.59</v>
      </c>
      <c r="N9" s="479">
        <f>IFERROR(M9/J9,0)</f>
        <v/>
      </c>
      <c r="O9" s="311" t="n">
        <v>198</v>
      </c>
      <c r="P9" s="310" t="n">
        <v>18943.94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6379.5</v>
      </c>
      <c r="W9" s="488" t="n"/>
      <c r="X9" s="483" t="n"/>
      <c r="Y9" s="311" t="n">
        <v>26971</v>
      </c>
      <c r="Z9" s="75">
        <f>Y9/1.15</f>
        <v/>
      </c>
      <c r="AA9" s="487" t="n"/>
      <c r="AB9" s="311" t="n">
        <v>39010.71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/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89" t="n"/>
      <c r="M10" s="489" t="n"/>
      <c r="N10" s="479">
        <f>IFERROR(M10/J11,0)</f>
        <v/>
      </c>
      <c r="O10" s="489" t="n"/>
      <c r="P10" s="48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137926.81</v>
      </c>
      <c r="C11" s="310" t="n">
        <v>146351.63</v>
      </c>
      <c r="D11" s="489" t="n">
        <v>86713.33</v>
      </c>
      <c r="E11" s="86">
        <f>IFERROR((SUM(B11-C11)/C11),0)</f>
        <v/>
      </c>
      <c r="F11" s="310" t="n">
        <v>42181.89</v>
      </c>
      <c r="G11" s="311" t="n">
        <v>150343.1</v>
      </c>
      <c r="H11" s="467">
        <f>IFERROR((SUM(B11-G11)/G11),0)</f>
        <v/>
      </c>
      <c r="I11" s="86">
        <f>IFERROR((SUM(#REF!-D11)/D11),0)</f>
        <v/>
      </c>
      <c r="J11" s="311" t="n">
        <v>461</v>
      </c>
      <c r="K11" s="84">
        <f>IFERROR(B12/J12,0)</f>
        <v/>
      </c>
      <c r="L11" s="311" t="n">
        <v>203</v>
      </c>
      <c r="M11" s="310" t="n">
        <v>20307.4</v>
      </c>
      <c r="N11" s="479">
        <f>IFERROR(M11/J12,0)</f>
        <v/>
      </c>
      <c r="O11" s="311" t="n">
        <v>823</v>
      </c>
      <c r="P11" s="310" t="n">
        <v>79913.64999999999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2771.6</v>
      </c>
      <c r="W11" s="488" t="n"/>
      <c r="X11" s="483" t="n"/>
      <c r="Y11" s="311" t="n">
        <v>49699.94</v>
      </c>
      <c r="Z11" s="75">
        <f>Y11/1.15</f>
        <v/>
      </c>
      <c r="AA11" s="487" t="n"/>
      <c r="AB11" s="311" t="n">
        <v>21544.44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195510.25</v>
      </c>
      <c r="C12" s="310" t="n">
        <v>200165.74</v>
      </c>
      <c r="D12" s="489" t="n">
        <v>206751.49</v>
      </c>
      <c r="E12" s="86">
        <f>IFERROR((SUM(B12-C12)/C12),0)</f>
        <v/>
      </c>
      <c r="F12" s="310" t="n">
        <v>52433.27</v>
      </c>
      <c r="G12" s="311" t="n">
        <v>219752.94</v>
      </c>
      <c r="H12" s="467">
        <f>IFERROR((SUM(B12-G12)/G12),0)</f>
        <v/>
      </c>
      <c r="I12" s="86">
        <f>IFERROR((SUM(B12-D12)/D12),0)</f>
        <v/>
      </c>
      <c r="J12" s="311" t="n">
        <v>668</v>
      </c>
      <c r="K12" s="84">
        <f>IFERROR(B12/J12,0)</f>
        <v/>
      </c>
      <c r="L12" s="311" t="n">
        <v>184</v>
      </c>
      <c r="M12" s="310" t="n">
        <v>19092.41</v>
      </c>
      <c r="N12" s="479">
        <f>IFERROR(M12/J12,0)</f>
        <v/>
      </c>
      <c r="O12" s="311" t="n">
        <v>808</v>
      </c>
      <c r="P12" s="310" t="n">
        <v>78264.3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5942</v>
      </c>
      <c r="W12" s="486" t="n"/>
      <c r="X12" s="483" t="n"/>
      <c r="Y12" s="311" t="n">
        <v>39209.45</v>
      </c>
      <c r="Z12" s="75">
        <f>Y12/1.15</f>
        <v/>
      </c>
      <c r="AA12" s="487" t="n"/>
      <c r="AB12" s="311" t="n">
        <v>38732.46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182997.95</v>
      </c>
      <c r="C13" s="310" t="n">
        <v>165920.05</v>
      </c>
      <c r="D13" s="489" t="n"/>
      <c r="E13" s="86">
        <f>IFERROR((SUM(B13-C13)/C13),0)</f>
        <v/>
      </c>
      <c r="F13" s="310" t="n">
        <v>53364.12</v>
      </c>
      <c r="G13" s="311" t="n">
        <v>174446.62</v>
      </c>
      <c r="H13" s="467">
        <f>IFERROR((SUM(B13-G13)/G13),0)</f>
        <v/>
      </c>
      <c r="I13" s="86">
        <f>IFERROR((SUM(B13-D13)/D13),0)</f>
        <v/>
      </c>
      <c r="J13" s="311" t="n">
        <v>571</v>
      </c>
      <c r="K13" s="84">
        <f>IFERROR(B13/J13,0)</f>
        <v/>
      </c>
      <c r="L13" s="311" t="n">
        <v>102</v>
      </c>
      <c r="M13" s="310" t="n">
        <v>8394.26</v>
      </c>
      <c r="N13" s="479">
        <f>IFERROR(M13/J13,0)</f>
        <v/>
      </c>
      <c r="O13" s="311" t="n">
        <v>479</v>
      </c>
      <c r="P13" s="310" t="n">
        <v>40967.56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6762.5</v>
      </c>
      <c r="W13" s="486" t="n"/>
      <c r="X13" s="483" t="n"/>
      <c r="Y13" s="311" t="n">
        <v>23448.03</v>
      </c>
      <c r="Z13" s="75">
        <f>Y13/1.15</f>
        <v/>
      </c>
      <c r="AA13" s="487" t="n"/>
      <c r="AB13" s="311" t="n">
        <v>31389.47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138240.4</v>
      </c>
      <c r="C14" s="310" t="n">
        <v>146592.33</v>
      </c>
      <c r="D14" s="489" t="n">
        <v>144600.03</v>
      </c>
      <c r="E14" s="86">
        <f>IFERROR((SUM(B14-C14)/C14),0)</f>
        <v/>
      </c>
      <c r="F14" s="310" t="n">
        <v>39629.16</v>
      </c>
      <c r="G14" s="311" t="n">
        <v>177308.39</v>
      </c>
      <c r="H14" s="467">
        <f>IFERROR((SUM(B14-G14)/G14),0)</f>
        <v/>
      </c>
      <c r="I14" s="86">
        <f>IFERROR((SUM(B14-D14)/D14),0)</f>
        <v/>
      </c>
      <c r="J14" s="311" t="n">
        <v>389</v>
      </c>
      <c r="K14" s="84">
        <f>IFERROR(B14/J14,0)</f>
        <v/>
      </c>
      <c r="L14" s="311" t="n">
        <v>71</v>
      </c>
      <c r="M14" s="310" t="n">
        <v>6940.19</v>
      </c>
      <c r="N14" s="479">
        <f>IFERROR(M14/J14,0)</f>
        <v/>
      </c>
      <c r="O14" s="311" t="n">
        <v>338</v>
      </c>
      <c r="P14" s="310" t="n">
        <v>30025.37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1814.5</v>
      </c>
      <c r="W14" s="488" t="n"/>
      <c r="X14" s="483" t="n"/>
      <c r="Y14" s="311" t="n">
        <v>29195.33</v>
      </c>
      <c r="Z14" s="75">
        <f>Y14/1.15</f>
        <v/>
      </c>
      <c r="AA14" s="487" t="n"/>
      <c r="AB14" s="311" t="n">
        <v>27037.5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148648.96</v>
      </c>
      <c r="C15" s="310" t="n">
        <v>130797.48</v>
      </c>
      <c r="D15" s="489" t="n">
        <v>152846.04</v>
      </c>
      <c r="E15" s="86">
        <f>IFERROR((SUM(B15-C15)/C15),0)</f>
        <v/>
      </c>
      <c r="F15" s="310" t="n">
        <v>33875.06</v>
      </c>
      <c r="G15" s="311" t="n">
        <v>141566.34</v>
      </c>
      <c r="H15" s="467">
        <f>IFERROR((SUM(B15-G15)/G15),0)</f>
        <v/>
      </c>
      <c r="I15" s="86">
        <f>IFERROR((SUM(B15-D15)/D15),0)</f>
        <v/>
      </c>
      <c r="J15" s="311" t="n">
        <v>425</v>
      </c>
      <c r="K15" s="84">
        <f>IFERROR(B15/J15,0)</f>
        <v/>
      </c>
      <c r="L15" s="311" t="n">
        <v>30</v>
      </c>
      <c r="M15" s="310" t="n">
        <v>2757.73</v>
      </c>
      <c r="N15" s="479">
        <f>IFERROR(M15/J15,0)</f>
        <v/>
      </c>
      <c r="O15" s="311" t="n">
        <v>134</v>
      </c>
      <c r="P15" s="310" t="n">
        <v>11930.4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3694.5</v>
      </c>
      <c r="W15" s="488" t="n"/>
      <c r="X15" s="483" t="n"/>
      <c r="Y15" s="311" t="n">
        <v>17029.71</v>
      </c>
      <c r="Z15" s="75">
        <f>Y15/1.15</f>
        <v/>
      </c>
      <c r="AA15" s="487" t="n"/>
      <c r="AB15" s="311" t="n">
        <v>19554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345609.59</v>
      </c>
      <c r="C5" s="310" t="n">
        <v>333142.98</v>
      </c>
      <c r="D5" s="489" t="n">
        <v>166877.21</v>
      </c>
      <c r="E5" s="86">
        <f>IFERROR((SUM(B5-C5)/C5),0)</f>
        <v/>
      </c>
      <c r="F5" s="310" t="n">
        <v>462037.62</v>
      </c>
      <c r="G5" s="310" t="n">
        <v>313858.58</v>
      </c>
      <c r="H5" s="467">
        <f>IFERROR((SUM(B5-G5)/G5),0)</f>
        <v/>
      </c>
      <c r="I5" s="86">
        <f>IFERROR((SUM(B5-D5)/D5),0)</f>
        <v/>
      </c>
      <c r="J5" s="310" t="n">
        <v>877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1360</v>
      </c>
      <c r="W5" s="486" t="n"/>
      <c r="X5" s="483" t="n"/>
      <c r="Y5" s="75">
        <f>X5/1.15</f>
        <v/>
      </c>
      <c r="Z5" s="75">
        <f>Y5/1.15</f>
        <v/>
      </c>
      <c r="AA5" s="487" t="n"/>
      <c r="AB5" s="310" t="n">
        <v>44100.5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209045.42</v>
      </c>
      <c r="C6" s="310" t="n">
        <v>233802.48</v>
      </c>
      <c r="D6" s="489" t="n">
        <v>317233.92</v>
      </c>
      <c r="E6" s="86">
        <f>IFERROR((SUM(B6-C6)/C6),0)</f>
        <v/>
      </c>
      <c r="F6" s="310" t="n">
        <v>283955.74</v>
      </c>
      <c r="G6" s="310" t="n">
        <v>244802.01</v>
      </c>
      <c r="H6" s="467">
        <f>IFERROR((SUM(B6-G6)/G6),0)</f>
        <v/>
      </c>
      <c r="I6" s="86">
        <f>IFERROR((SUM(B6-D6)/D6),0)</f>
        <v/>
      </c>
      <c r="J6" s="310" t="n">
        <v>594</v>
      </c>
      <c r="K6" s="84">
        <f>IFERROR(B6/J6,0)</f>
        <v/>
      </c>
      <c r="L6" s="310" t="n">
        <v>34</v>
      </c>
      <c r="M6" s="310" t="n">
        <v>3146.57</v>
      </c>
      <c r="N6" s="479">
        <f>IFERROR(M7/J6,0)</f>
        <v/>
      </c>
      <c r="O6" s="310" t="n">
        <v>81</v>
      </c>
      <c r="P6" s="310" t="n">
        <v>6763.25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9634.049999999999</v>
      </c>
      <c r="W6" s="488" t="n"/>
      <c r="X6" s="483" t="n"/>
      <c r="Y6" s="310" t="n">
        <v>38417.41</v>
      </c>
      <c r="Z6" s="75">
        <f>Y6/1.15</f>
        <v/>
      </c>
      <c r="AA6" s="487" t="n"/>
      <c r="AB6" s="310" t="n">
        <v>28467.76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255099.92</v>
      </c>
      <c r="C7" s="310" t="n">
        <v>300875.84</v>
      </c>
      <c r="D7" s="489" t="n">
        <v>254835.6</v>
      </c>
      <c r="E7" s="86">
        <f>IFERROR((SUM(B7-C7)/C7),0)</f>
        <v/>
      </c>
      <c r="F7" s="310" t="n">
        <v>383276.83</v>
      </c>
      <c r="G7" s="310" t="n">
        <v>289239.54</v>
      </c>
      <c r="H7" s="467">
        <f>IFERROR((SUM(B7-G7)/G7),0)</f>
        <v/>
      </c>
      <c r="I7" s="86">
        <f>IFERROR((SUM(B7-D7)/D7),0)</f>
        <v/>
      </c>
      <c r="J7" s="310" t="n">
        <v>681</v>
      </c>
      <c r="K7" s="84">
        <f>IFERROR(B7/J7,0)</f>
        <v/>
      </c>
      <c r="L7" s="310" t="n">
        <v>37</v>
      </c>
      <c r="M7" s="310" t="n">
        <v>3477.98</v>
      </c>
      <c r="N7" s="479">
        <f>IFERROR(#REF!/J7,0)</f>
        <v/>
      </c>
      <c r="O7" s="310" t="n">
        <v>50</v>
      </c>
      <c r="P7" s="310" t="n">
        <v>4747.1</v>
      </c>
      <c r="Q7" s="89">
        <f>IFERROR(P7/SUM(J7),0)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5095.3</v>
      </c>
      <c r="W7" s="488" t="n"/>
      <c r="X7" s="483" t="n"/>
      <c r="Y7" s="310" t="n">
        <v>44847.52</v>
      </c>
      <c r="Z7" s="75">
        <f>Y7/1.15</f>
        <v/>
      </c>
      <c r="AA7" s="487" t="n"/>
      <c r="AB7" s="310" t="n">
        <v>5015.55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>
        <v>173301.53</v>
      </c>
      <c r="D8" s="489" t="n">
        <v>125945.97</v>
      </c>
      <c r="E8" s="86">
        <f>IFERROR((SUM(B8-C8)/C8),0)</f>
        <v/>
      </c>
      <c r="F8" s="310" t="n">
        <v>52368.39</v>
      </c>
      <c r="G8" s="310" t="n">
        <v>151762.27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3" t="inlineStr">
        <is>
          <t>Lynnwood</t>
        </is>
      </c>
      <c r="B9" s="310" t="n">
        <v>193340.12</v>
      </c>
      <c r="C9" s="310" t="n">
        <v>236084.36</v>
      </c>
      <c r="D9" s="489" t="n">
        <v>243010.12</v>
      </c>
      <c r="E9" s="86">
        <f>IFERROR((SUM(B9-C9)/C9),0)</f>
        <v/>
      </c>
      <c r="F9" s="310" t="n">
        <v>218018.02</v>
      </c>
      <c r="G9" s="310" t="n">
        <v>212596.37</v>
      </c>
      <c r="H9" s="467">
        <f>IFERROR((SUM(B9-G9)/G9),0)</f>
        <v/>
      </c>
      <c r="I9" s="86">
        <f>IFERROR((SUM(B9-D9)/D9),0)</f>
        <v/>
      </c>
      <c r="J9" s="310" t="n">
        <v>529</v>
      </c>
      <c r="K9" s="84">
        <f>IFERROR(B9/J9,0)</f>
        <v/>
      </c>
      <c r="L9" s="310" t="n">
        <v>49</v>
      </c>
      <c r="M9" s="310" t="n">
        <v>4793.48</v>
      </c>
      <c r="N9" s="479">
        <f>IFERROR(M9/J9,0)</f>
        <v/>
      </c>
      <c r="O9" s="310" t="n">
        <v>63</v>
      </c>
      <c r="P9" s="310" t="n">
        <v>6053.3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3822</v>
      </c>
      <c r="W9" s="488" t="n"/>
      <c r="X9" s="483" t="n"/>
      <c r="Y9" s="310" t="n">
        <v>31173.64</v>
      </c>
      <c r="Z9" s="75">
        <f>Y9/1.15</f>
        <v/>
      </c>
      <c r="AA9" s="487" t="n"/>
      <c r="AB9" s="310" t="n">
        <v>22059.5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287810.49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106095.74</v>
      </c>
      <c r="C11" s="310" t="n">
        <v>137926.81</v>
      </c>
      <c r="D11" s="489" t="n">
        <v>86713.33</v>
      </c>
      <c r="E11" s="86">
        <f>IFERROR((SUM(B11-C11)/C11),0)</f>
        <v/>
      </c>
      <c r="F11" s="310" t="n">
        <v>148277.63</v>
      </c>
      <c r="G11" s="310" t="n">
        <v>126008.3</v>
      </c>
      <c r="H11" s="467">
        <f>IFERROR((SUM(B11-G11)/G11),0)</f>
        <v/>
      </c>
      <c r="I11" s="86">
        <f>IFERROR((SUM(#REF!-D11)/D11),0)</f>
        <v/>
      </c>
      <c r="J11" s="310" t="n">
        <v>353</v>
      </c>
      <c r="K11" s="84">
        <f>IFERROR(B12/J12,0)</f>
        <v/>
      </c>
      <c r="L11" s="310" t="n">
        <v>126</v>
      </c>
      <c r="M11" s="310" t="n">
        <v>11737.2</v>
      </c>
      <c r="N11" s="479">
        <f>IFERROR(M11/J12,0)</f>
        <v/>
      </c>
      <c r="O11" s="310" t="n">
        <v>204</v>
      </c>
      <c r="P11" s="310" t="n">
        <v>19373.96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3942</v>
      </c>
      <c r="W11" s="488" t="n"/>
      <c r="X11" s="483" t="n"/>
      <c r="Y11" s="310" t="n">
        <v>32640.9</v>
      </c>
      <c r="Z11" s="75">
        <f>Y11/1.15</f>
        <v/>
      </c>
      <c r="AA11" s="487" t="n"/>
      <c r="AB11" s="310" t="n">
        <v>22104.32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221165.64</v>
      </c>
      <c r="C12" s="310" t="n">
        <v>195510.25</v>
      </c>
      <c r="D12" s="489" t="n">
        <v>206751.49</v>
      </c>
      <c r="E12" s="86">
        <f>IFERROR((SUM(B12-C12)/C12),0)</f>
        <v/>
      </c>
      <c r="F12" s="310" t="n">
        <v>273598.91</v>
      </c>
      <c r="G12" s="310" t="n">
        <v>195193.78</v>
      </c>
      <c r="H12" s="467">
        <f>IFERROR((SUM(B12-G12)/G12),0)</f>
        <v/>
      </c>
      <c r="I12" s="86">
        <f>IFERROR((SUM(B12-D12)/D12),0)</f>
        <v/>
      </c>
      <c r="J12" s="310" t="n">
        <v>708</v>
      </c>
      <c r="K12" s="84">
        <f>IFERROR(B12/J12,0)</f>
        <v/>
      </c>
      <c r="L12" s="310" t="n">
        <v>174</v>
      </c>
      <c r="M12" s="310" t="n">
        <v>16488.29</v>
      </c>
      <c r="N12" s="479">
        <f>IFERROR(M12/J12,0)</f>
        <v/>
      </c>
      <c r="O12" s="310" t="n">
        <v>218</v>
      </c>
      <c r="P12" s="310" t="n">
        <v>20533.44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5579</v>
      </c>
      <c r="W12" s="486" t="n"/>
      <c r="X12" s="483" t="n"/>
      <c r="Y12" s="310" t="n">
        <v>36931.85</v>
      </c>
      <c r="Z12" s="75">
        <f>Y12/1.15</f>
        <v/>
      </c>
      <c r="AA12" s="487" t="n"/>
      <c r="AB12" s="310" t="n">
        <v>45245.86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172931.57</v>
      </c>
      <c r="C13" s="310" t="n">
        <v>182997.95</v>
      </c>
      <c r="D13" s="489" t="n"/>
      <c r="E13" s="86">
        <f>IFERROR((SUM(B13-C13)/C13),0)</f>
        <v/>
      </c>
      <c r="F13" s="310" t="n">
        <v>226295.69</v>
      </c>
      <c r="G13" s="310" t="n">
        <v>157866.8</v>
      </c>
      <c r="H13" s="467">
        <f>IFERROR((SUM(B13-G13)/G13),0)</f>
        <v/>
      </c>
      <c r="I13" s="86">
        <f>IFERROR((SUM(B13-D13)/D13),0)</f>
        <v/>
      </c>
      <c r="J13" s="310" t="n">
        <v>575</v>
      </c>
      <c r="K13" s="84">
        <f>IFERROR(B13/J13,0)</f>
        <v/>
      </c>
      <c r="L13" s="310" t="n">
        <v>118</v>
      </c>
      <c r="M13" s="310" t="n">
        <v>9961.27</v>
      </c>
      <c r="N13" s="479">
        <f>IFERROR(M13/J13,0)</f>
        <v/>
      </c>
      <c r="O13" s="310" t="n">
        <v>152</v>
      </c>
      <c r="P13" s="310" t="n">
        <v>12726.14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5934.4</v>
      </c>
      <c r="W13" s="486" t="n"/>
      <c r="X13" s="483" t="n"/>
      <c r="Y13" s="310" t="n">
        <v>26215.47</v>
      </c>
      <c r="Z13" s="75">
        <f>Y13/1.15</f>
        <v/>
      </c>
      <c r="AA13" s="487" t="n"/>
      <c r="AB13" s="310" t="n">
        <v>32250.68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144683.58</v>
      </c>
      <c r="C14" s="310" t="n">
        <v>138240.4</v>
      </c>
      <c r="D14" s="489" t="n">
        <v>144600.03</v>
      </c>
      <c r="E14" s="86">
        <f>IFERROR((SUM(B14-C14)/C14),0)</f>
        <v/>
      </c>
      <c r="F14" s="310" t="n">
        <v>184312.74</v>
      </c>
      <c r="G14" s="310" t="n">
        <v>161843.3</v>
      </c>
      <c r="H14" s="467">
        <f>IFERROR((SUM(B14-G14)/G14),0)</f>
        <v/>
      </c>
      <c r="I14" s="86">
        <f>IFERROR((SUM(B14-D14)/D14),0)</f>
        <v/>
      </c>
      <c r="J14" s="310" t="n">
        <v>396</v>
      </c>
      <c r="K14" s="84">
        <f>IFERROR(B14/J14,0)</f>
        <v/>
      </c>
      <c r="L14" s="310" t="n">
        <v>71</v>
      </c>
      <c r="M14" s="310" t="n">
        <v>7778.81</v>
      </c>
      <c r="N14" s="479">
        <f>IFERROR(M14/J14,0)</f>
        <v/>
      </c>
      <c r="O14" s="310" t="n">
        <v>89</v>
      </c>
      <c r="P14" s="310" t="n">
        <v>9626.700000000001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3930</v>
      </c>
      <c r="W14" s="488" t="n"/>
      <c r="X14" s="483" t="n"/>
      <c r="Y14" s="310" t="n">
        <v>28693.94</v>
      </c>
      <c r="Z14" s="75">
        <f>Y14/1.15</f>
        <v/>
      </c>
      <c r="AA14" s="487" t="n"/>
      <c r="AB14" s="310" t="n">
        <v>30437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126682.94</v>
      </c>
      <c r="C15" s="310" t="n">
        <v>148648.96</v>
      </c>
      <c r="D15" s="489" t="n">
        <v>152846.04</v>
      </c>
      <c r="E15" s="86">
        <f>IFERROR((SUM(B15-C15)/C15),0)</f>
        <v/>
      </c>
      <c r="F15" s="310" t="n">
        <v>160558</v>
      </c>
      <c r="G15" s="310" t="n">
        <v>128388.49</v>
      </c>
      <c r="H15" s="467">
        <f>IFERROR((SUM(B15-G15)/G15),0)</f>
        <v/>
      </c>
      <c r="I15" s="86">
        <f>IFERROR((SUM(B15-D15)/D15),0)</f>
        <v/>
      </c>
      <c r="J15" s="310" t="n">
        <v>409</v>
      </c>
      <c r="K15" s="84">
        <f>IFERROR(B15/J15,0)</f>
        <v/>
      </c>
      <c r="L15" s="310" t="n">
        <v>28</v>
      </c>
      <c r="M15" s="310" t="n">
        <v>2442.64</v>
      </c>
      <c r="N15" s="479">
        <f>IFERROR(M15/J15,0)</f>
        <v/>
      </c>
      <c r="O15" s="310" t="n">
        <v>39</v>
      </c>
      <c r="P15" s="310" t="n">
        <v>3611.29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5934.8</v>
      </c>
      <c r="W15" s="488" t="n"/>
      <c r="X15" s="483" t="n"/>
      <c r="Y15" s="310" t="n">
        <v>16950.67</v>
      </c>
      <c r="Z15" s="75">
        <f>Y15/1.15</f>
        <v/>
      </c>
      <c r="AA15" s="487" t="n"/>
      <c r="AB15" s="310" t="n">
        <v>18989.25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336127.2</v>
      </c>
      <c r="C5" s="310" t="n">
        <v>345609.59</v>
      </c>
      <c r="D5" s="489" t="n">
        <v>166877.21</v>
      </c>
      <c r="E5" s="86">
        <f>IFERROR((SUM(B5-C5)/C5),0)</f>
        <v/>
      </c>
      <c r="F5" s="310" t="n">
        <v>798164.8199999999</v>
      </c>
      <c r="G5" s="310" t="n">
        <v>308387.34</v>
      </c>
      <c r="H5" s="467">
        <f>IFERROR((SUM(B5-G5)/G5),0)</f>
        <v/>
      </c>
      <c r="I5" s="86">
        <f>IFERROR((SUM(B5-D5)/D5),0)</f>
        <v/>
      </c>
      <c r="J5" t="n">
        <v>902</v>
      </c>
      <c r="K5" s="84">
        <f>IFERROR(B5/J5,0)</f>
        <v/>
      </c>
      <c r="L5" s="310" t="n"/>
      <c r="M5" s="310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2340.1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38816.5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248766.27</v>
      </c>
      <c r="C6" s="310" t="n">
        <v>209045.42</v>
      </c>
      <c r="D6" s="489" t="n">
        <v>317233.92</v>
      </c>
      <c r="E6" s="86">
        <f>IFERROR((SUM(B6-C6)/C6),0)</f>
        <v/>
      </c>
      <c r="F6" s="310" t="n">
        <v>532722.01</v>
      </c>
      <c r="G6" s="310" t="n">
        <v>218341.36</v>
      </c>
      <c r="H6" s="467">
        <f>IFERROR((SUM(B6-G6)/G6),0)</f>
        <v/>
      </c>
      <c r="I6" s="86">
        <f>IFERROR((SUM(B6-D6)/D6),0)</f>
        <v/>
      </c>
      <c r="J6" t="n">
        <v>699</v>
      </c>
      <c r="K6" s="84">
        <f>IFERROR(B6/J6,0)</f>
        <v/>
      </c>
      <c r="L6" s="310" t="n">
        <v>109</v>
      </c>
      <c r="M6" s="310" t="n">
        <v>11733.98</v>
      </c>
      <c r="N6" s="479">
        <f>IFERROR(O7/J6,0)</f>
        <v/>
      </c>
      <c r="O6" s="310" t="n">
        <v>190</v>
      </c>
      <c r="P6" s="310" t="n">
        <v>18497.23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8884.049999999999</v>
      </c>
      <c r="W6" s="488" t="n"/>
      <c r="X6" s="483" t="n"/>
      <c r="Y6" s="310" t="n">
        <v>50909.34</v>
      </c>
      <c r="Z6" s="75">
        <f>Y6/1.15</f>
        <v/>
      </c>
      <c r="AA6" s="487" t="n"/>
      <c r="AB6" s="310" t="n">
        <v>28816.43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283042.15</v>
      </c>
      <c r="C7" s="310" t="n">
        <v>255099.92</v>
      </c>
      <c r="D7" s="489" t="n">
        <v>254835.6</v>
      </c>
      <c r="E7" s="86">
        <f>IFERROR((SUM(B7-C7)/C7),0)</f>
        <v/>
      </c>
      <c r="F7" s="310" t="n">
        <v>666318.98</v>
      </c>
      <c r="G7" s="310" t="n">
        <v>279661.1</v>
      </c>
      <c r="H7" s="467">
        <f>IFERROR((SUM(B7-G7)/G7),0)</f>
        <v/>
      </c>
      <c r="I7" s="86">
        <f>IFERROR((SUM(B7-D7)/D7),0)</f>
        <v/>
      </c>
      <c r="J7" t="n">
        <v>751</v>
      </c>
      <c r="K7" s="84">
        <f>IFERROR(B7/J7,0)</f>
        <v/>
      </c>
      <c r="L7" s="310" t="n">
        <v>31</v>
      </c>
      <c r="M7" s="310" t="n">
        <v>3765.25</v>
      </c>
      <c r="N7" s="479">
        <f>IFERROR(#REF!/J7,0)</f>
        <v/>
      </c>
      <c r="O7" s="310" t="n">
        <v>81</v>
      </c>
      <c r="P7" s="310" t="n">
        <v>8512.35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4579.35</v>
      </c>
      <c r="W7" s="488" t="n"/>
      <c r="X7" s="483" t="n"/>
      <c r="Y7" s="310" t="n">
        <v>48282</v>
      </c>
      <c r="Z7" s="75">
        <f>Y7/1.15</f>
        <v/>
      </c>
      <c r="AA7" s="487" t="n"/>
      <c r="AB7" s="310" t="n">
        <v>5792.95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145598.56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238413.34</v>
      </c>
      <c r="C9" s="310" t="n">
        <v>193340.12</v>
      </c>
      <c r="D9" s="489" t="n">
        <v>243010.12</v>
      </c>
      <c r="E9" s="86">
        <f>IFERROR((SUM(B9-C9)/C9),0)</f>
        <v/>
      </c>
      <c r="F9" s="310" t="n">
        <v>484964.82</v>
      </c>
      <c r="G9" s="310" t="n">
        <v>214919.99</v>
      </c>
      <c r="H9" s="467">
        <f>IFERROR((SUM(B9-G9)/G9),0)</f>
        <v/>
      </c>
      <c r="I9" s="86">
        <f>IFERROR((SUM(B9-D9)/D9),0)</f>
        <v/>
      </c>
      <c r="J9" t="n">
        <v>688</v>
      </c>
      <c r="K9" s="84">
        <f>IFERROR(B9/J9,0)</f>
        <v/>
      </c>
      <c r="L9" s="310" t="n">
        <v>79</v>
      </c>
      <c r="M9" s="310" t="n">
        <v>6102.42</v>
      </c>
      <c r="N9" s="479">
        <f>IFERROR(M9/J9,0)</f>
        <v/>
      </c>
      <c r="O9" s="310" t="n">
        <v>144</v>
      </c>
      <c r="P9" s="310" t="n">
        <v>12365.07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9138</v>
      </c>
      <c r="W9" s="488" t="n"/>
      <c r="X9" s="483" t="n"/>
      <c r="Y9" s="310" t="n">
        <v>36772.04</v>
      </c>
      <c r="Z9" s="75">
        <f>Y9/1.15</f>
        <v/>
      </c>
      <c r="AA9" s="487" t="n"/>
      <c r="AB9" s="310" t="n">
        <v>32115.91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270660.22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128332.05</v>
      </c>
      <c r="C11" s="310" t="n">
        <v>106095.74</v>
      </c>
      <c r="D11" s="489" t="n">
        <v>86713.33</v>
      </c>
      <c r="E11" s="86">
        <f>IFERROR((SUM(B11-C11)/C11),0)</f>
        <v/>
      </c>
      <c r="F11" s="310" t="n">
        <v>276609.68</v>
      </c>
      <c r="G11" s="310" t="n">
        <v>132052.69</v>
      </c>
      <c r="H11" s="467">
        <f>IFERROR((SUM(B11-G11)/G11),0)</f>
        <v/>
      </c>
      <c r="I11" s="86">
        <f>IFERROR((SUM(#REF!-D11)/D11),0)</f>
        <v/>
      </c>
      <c r="J11" t="n">
        <v>409</v>
      </c>
      <c r="K11" s="84">
        <f>IFERROR(B12/J12,0)</f>
        <v/>
      </c>
      <c r="L11" s="310" t="n">
        <v>202</v>
      </c>
      <c r="M11" s="310" t="n">
        <v>19956.5</v>
      </c>
      <c r="N11" s="479">
        <f>IFERROR(M11/J12,0)</f>
        <v/>
      </c>
      <c r="O11" s="310" t="n">
        <v>406</v>
      </c>
      <c r="P11" s="310" t="n">
        <v>39330.46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3221.6</v>
      </c>
      <c r="W11" s="488" t="n"/>
      <c r="X11" s="483" t="n"/>
      <c r="Y11" s="310" t="n">
        <v>47089.92</v>
      </c>
      <c r="Z11" s="75">
        <f>Y11/1.15</f>
        <v/>
      </c>
      <c r="AA11" s="487" t="n"/>
      <c r="AB11" s="310" t="n">
        <v>18751.24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230641.07</v>
      </c>
      <c r="C12" s="310" t="n">
        <v>221165.64</v>
      </c>
      <c r="D12" s="489" t="n">
        <v>206751.49</v>
      </c>
      <c r="E12" s="86">
        <f>IFERROR((SUM(B12-C12)/C12),0)</f>
        <v/>
      </c>
      <c r="F12" s="310" t="n">
        <v>504239.98</v>
      </c>
      <c r="G12" s="310" t="n">
        <v>192667.35</v>
      </c>
      <c r="H12" s="467">
        <f>IFERROR((SUM(B12-G12)/G12),0)</f>
        <v/>
      </c>
      <c r="I12" s="86">
        <f>IFERROR((SUM(B12-D12)/D12),0)</f>
        <v/>
      </c>
      <c r="J12" t="n">
        <v>714</v>
      </c>
      <c r="K12" s="84">
        <f>IFERROR(B12/J12,0)</f>
        <v/>
      </c>
      <c r="L12" s="310" t="n">
        <v>200</v>
      </c>
      <c r="M12" s="310" t="n">
        <v>18713.92</v>
      </c>
      <c r="N12" s="479">
        <f>IFERROR(M12/J12,0)</f>
        <v/>
      </c>
      <c r="O12" s="310" t="n">
        <v>418</v>
      </c>
      <c r="P12" s="310" t="n">
        <v>39247.36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6969</v>
      </c>
      <c r="W12" s="486" t="n"/>
      <c r="X12" s="483" t="n"/>
      <c r="Y12" s="310" t="n">
        <v>41465.58</v>
      </c>
      <c r="Z12" s="75">
        <f>Y12/1.15</f>
        <v/>
      </c>
      <c r="AA12" s="487" t="n"/>
      <c r="AB12" s="310" t="n">
        <v>49445.97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170480.68</v>
      </c>
      <c r="C13" s="310" t="n">
        <v>172931.57</v>
      </c>
      <c r="D13" s="489" t="n"/>
      <c r="E13" s="86">
        <f>IFERROR((SUM(B13-C13)/C13),0)</f>
        <v/>
      </c>
      <c r="F13" s="310" t="n">
        <v>396776.37</v>
      </c>
      <c r="G13" s="310" t="n">
        <v>155494.3</v>
      </c>
      <c r="H13" s="467">
        <f>IFERROR((SUM(B13-G13)/G13),0)</f>
        <v/>
      </c>
      <c r="I13" s="86">
        <f>IFERROR((SUM(B13-D13)/D13),0)</f>
        <v/>
      </c>
      <c r="J13" s="310" t="n"/>
      <c r="K13" s="84">
        <f>IFERROR(B13/J13,0)</f>
        <v/>
      </c>
      <c r="L13" s="310" t="n">
        <v>96</v>
      </c>
      <c r="M13" s="310" t="n">
        <v>8167.32</v>
      </c>
      <c r="N13" s="479">
        <f>IFERROR(M13/J13,0)</f>
        <v/>
      </c>
      <c r="O13" s="310" t="n">
        <v>248</v>
      </c>
      <c r="P13" s="310" t="n">
        <v>20893.46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555</v>
      </c>
      <c r="W13" s="486" t="n"/>
      <c r="X13" s="483" t="n"/>
      <c r="Y13" s="310" t="n">
        <v>27187.72</v>
      </c>
      <c r="Z13" s="75">
        <f>Y13/1.15</f>
        <v/>
      </c>
      <c r="AA13" s="487" t="n"/>
      <c r="AB13" s="310" t="n">
        <v>31209.12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140702.34</v>
      </c>
      <c r="C14" s="310" t="n">
        <v>144683.58</v>
      </c>
      <c r="D14" s="489" t="n">
        <v>144600.03</v>
      </c>
      <c r="E14" s="86">
        <f>IFERROR((SUM(B14-C14)/C14),0)</f>
        <v/>
      </c>
      <c r="F14" s="310" t="n">
        <v>325015.08</v>
      </c>
      <c r="G14" s="310" t="n">
        <v>140253.71</v>
      </c>
      <c r="H14" s="467">
        <f>IFERROR((SUM(B14-G14)/G14),0)</f>
        <v/>
      </c>
      <c r="I14" s="86">
        <f>IFERROR((SUM(B14-D14)/D14),0)</f>
        <v/>
      </c>
      <c r="J14" t="n">
        <v>425</v>
      </c>
      <c r="K14" s="84">
        <f>IFERROR(B14/J14,0)</f>
        <v/>
      </c>
      <c r="L14" s="310" t="n">
        <v>84</v>
      </c>
      <c r="M14" s="310" t="n">
        <v>8469.16</v>
      </c>
      <c r="N14" s="479">
        <f>IFERROR(M14/J14,0)</f>
        <v/>
      </c>
      <c r="O14" s="310" t="n">
        <v>173</v>
      </c>
      <c r="P14" s="310" t="n">
        <v>18095.86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4298.35</v>
      </c>
      <c r="W14" s="488" t="n"/>
      <c r="X14" s="483" t="n"/>
      <c r="Y14" s="310" t="n">
        <v>47472.81</v>
      </c>
      <c r="Z14" s="75">
        <f>Y14/1.15</f>
        <v/>
      </c>
      <c r="AA14" s="487" t="n"/>
      <c r="AB14" s="310" t="n">
        <v>23180.5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143628.35</v>
      </c>
      <c r="C15" s="310" t="n">
        <v>126682.94</v>
      </c>
      <c r="D15" s="489" t="n">
        <v>152846.04</v>
      </c>
      <c r="E15" s="86">
        <f>IFERROR((SUM(B15-C15)/C15),0)</f>
        <v/>
      </c>
      <c r="F15" s="310" t="n">
        <v>304186.35</v>
      </c>
      <c r="G15" s="310" t="n">
        <v>129577.45</v>
      </c>
      <c r="H15" s="467">
        <f>IFERROR((SUM(B15-G15)/G15),0)</f>
        <v/>
      </c>
      <c r="I15" s="86">
        <f>IFERROR((SUM(B15-D15)/D15),0)</f>
        <v/>
      </c>
      <c r="J15" t="n">
        <v>457</v>
      </c>
      <c r="K15" s="84">
        <f>IFERROR(B15/J15,0)</f>
        <v/>
      </c>
      <c r="L15" s="310" t="n">
        <v>62</v>
      </c>
      <c r="M15" s="310" t="n">
        <v>4993.55</v>
      </c>
      <c r="N15" s="479">
        <f>IFERROR(M15/J15,0)</f>
        <v/>
      </c>
      <c r="O15" s="310" t="n">
        <v>101</v>
      </c>
      <c r="P15" s="310" t="n">
        <v>8604.84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6439.4</v>
      </c>
      <c r="W15" s="488" t="n"/>
      <c r="X15" s="483" t="n"/>
      <c r="Y15" s="310" t="n">
        <v>23529.09</v>
      </c>
      <c r="Z15" s="75">
        <f>Y15/1.15</f>
        <v/>
      </c>
      <c r="AA15" s="487" t="n"/>
      <c r="AB15" s="310" t="n">
        <v>26618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baseColWidth="8" defaultRowHeight="14.4"/>
  <cols>
    <col width="23" customWidth="1" min="1" max="1"/>
    <col width="30.55468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245552.6</v>
      </c>
      <c r="C5" s="310" t="n">
        <v>336127.2</v>
      </c>
      <c r="D5" s="489" t="n">
        <v>166877.21</v>
      </c>
      <c r="E5" s="86">
        <f>IFERROR((SUM(B5-C5)/C5),0)</f>
        <v/>
      </c>
      <c r="F5" s="310" t="n">
        <v>1043717.42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705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3434.7</v>
      </c>
      <c r="W5" s="486" t="n"/>
      <c r="X5" s="483" t="n"/>
      <c r="Y5" s="75" t="n">
        <v>0</v>
      </c>
      <c r="Z5" s="75">
        <f>Y5/1.15</f>
        <v/>
      </c>
      <c r="AA5" s="487" t="n"/>
      <c r="AB5" s="310" t="n">
        <v>26450.3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227209.77</v>
      </c>
      <c r="C6" s="310" t="n">
        <v>248766.27</v>
      </c>
      <c r="D6" s="489" t="n">
        <v>317233.92</v>
      </c>
      <c r="E6" s="86">
        <f>IFERROR((SUM(B6-C6)/C6),0)</f>
        <v/>
      </c>
      <c r="F6" s="310" t="n">
        <v>759931.78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629</v>
      </c>
      <c r="K6" s="84">
        <f>IFERROR(B6/J6,0)</f>
        <v/>
      </c>
      <c r="L6" s="310" t="n">
        <v>100</v>
      </c>
      <c r="M6" s="310" t="n">
        <v>10318</v>
      </c>
      <c r="N6" s="479">
        <f>IFERROR(O7/J6,0)</f>
        <v/>
      </c>
      <c r="O6" s="310" t="n">
        <v>290</v>
      </c>
      <c r="P6" s="310" t="n">
        <v>28815.23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5693.85</v>
      </c>
      <c r="W6" s="488" t="n"/>
      <c r="X6" s="483" t="n"/>
      <c r="Y6" s="310" t="n">
        <v>47531.32</v>
      </c>
      <c r="Z6" s="75">
        <f>Y6/1.15</f>
        <v/>
      </c>
      <c r="AA6" s="487" t="n"/>
      <c r="AB6" s="310" t="n">
        <v>22242.11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252535.33</v>
      </c>
      <c r="C7" s="310" t="n">
        <v>283042.15</v>
      </c>
      <c r="D7" s="489" t="n">
        <v>254835.6</v>
      </c>
      <c r="E7" s="86">
        <f>IFERROR((SUM(B7-C7)/C7),0)</f>
        <v/>
      </c>
      <c r="F7" s="310" t="n">
        <v>918854.3100000001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697</v>
      </c>
      <c r="K7" s="84">
        <f>IFERROR(B7/J7,0)</f>
        <v/>
      </c>
      <c r="L7" s="310" t="n">
        <v>49</v>
      </c>
      <c r="M7" s="310" t="n">
        <v>5299.45</v>
      </c>
      <c r="N7" s="479">
        <f>IFERROR(#REF!/J7,0)</f>
        <v/>
      </c>
      <c r="O7" s="310" t="n">
        <v>130</v>
      </c>
      <c r="P7" s="310" t="n">
        <v>13811.8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6399.45</v>
      </c>
      <c r="W7" s="488" t="n"/>
      <c r="X7" s="483" t="n"/>
      <c r="Y7" s="310" t="n">
        <v>46900.1</v>
      </c>
      <c r="Z7" s="75">
        <f>Y7/1.15</f>
        <v/>
      </c>
      <c r="AA7" s="487" t="n"/>
      <c r="AB7" s="310" t="n">
        <v>3629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86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310" t="n"/>
      <c r="M8" s="310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75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178117.45</v>
      </c>
      <c r="C9" s="310" t="n">
        <v>238413.34</v>
      </c>
      <c r="D9" s="489" t="n">
        <v>243010.12</v>
      </c>
      <c r="E9" s="86">
        <f>IFERROR((SUM(B9-C9)/C9),0)</f>
        <v/>
      </c>
      <c r="F9" s="310" t="n">
        <v>685888.34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597</v>
      </c>
      <c r="K9" s="84">
        <f>IFERROR(B9/J9,0)</f>
        <v/>
      </c>
      <c r="L9" s="310" t="n">
        <v>100</v>
      </c>
      <c r="M9" s="310" t="n">
        <v>6882.06</v>
      </c>
      <c r="N9" s="479">
        <f>IFERROR(M9/J9,0)</f>
        <v/>
      </c>
      <c r="O9" s="310" t="n">
        <v>213</v>
      </c>
      <c r="P9" s="310" t="n">
        <v>17535.06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5782</v>
      </c>
      <c r="W9" s="488" t="n"/>
      <c r="X9" s="483" t="n"/>
      <c r="Y9" s="310" t="n">
        <v>28389.45</v>
      </c>
      <c r="Z9" s="75">
        <f>Y9/1.15</f>
        <v/>
      </c>
      <c r="AA9" s="487" t="n"/>
      <c r="AB9" s="310" t="n">
        <v>28921.89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86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IFERROR(M10/J11,0)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75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152081.29</v>
      </c>
      <c r="C11" s="310" t="n">
        <v>128332.05</v>
      </c>
      <c r="D11" s="489" t="n">
        <v>86713.33</v>
      </c>
      <c r="E11" s="86">
        <f>IFERROR((SUM(B11-C11)/C11),0)</f>
        <v/>
      </c>
      <c r="F11" s="310" t="n">
        <v>428690.97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451</v>
      </c>
      <c r="K11" s="84">
        <f>IFERROR(B12/J12,0)</f>
        <v/>
      </c>
      <c r="L11" s="310" t="n">
        <v>161</v>
      </c>
      <c r="M11" s="310" t="n">
        <v>15169.02</v>
      </c>
      <c r="N11" s="479">
        <f>IFERROR(M11/J12,0)</f>
        <v/>
      </c>
      <c r="O11" s="310" t="n">
        <v>567</v>
      </c>
      <c r="P11" s="310" t="n">
        <v>54499.48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6417.74</v>
      </c>
      <c r="W11" s="488" t="n"/>
      <c r="X11" s="483" t="n"/>
      <c r="Y11" s="310" t="n">
        <v>42801.92</v>
      </c>
      <c r="Z11" s="75">
        <f>Y11/1.15</f>
        <v/>
      </c>
      <c r="AA11" s="487" t="n"/>
      <c r="AB11" s="310" t="n">
        <v>31271.17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196594.01</v>
      </c>
      <c r="C12" s="310" t="n">
        <v>230641.07</v>
      </c>
      <c r="D12" s="489" t="n">
        <v>206751.49</v>
      </c>
      <c r="E12" s="86">
        <f>IFERROR((SUM(B12-C12)/C12),0)</f>
        <v/>
      </c>
      <c r="F12" s="310" t="n">
        <v>700833.99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672</v>
      </c>
      <c r="K12" s="84">
        <f>IFERROR(B12/J12,0)</f>
        <v/>
      </c>
      <c r="L12" s="310" t="n">
        <v>218</v>
      </c>
      <c r="M12" s="310" t="n">
        <v>19760.1</v>
      </c>
      <c r="N12" s="479">
        <f>IFERROR(M12/J12,0)</f>
        <v/>
      </c>
      <c r="O12" s="310" t="n">
        <v>636</v>
      </c>
      <c r="P12" s="310" t="n">
        <v>59007.46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6717.54</v>
      </c>
      <c r="W12" s="486" t="n"/>
      <c r="X12" s="483" t="n"/>
      <c r="Y12" s="310" t="n">
        <v>44965.73</v>
      </c>
      <c r="Z12" s="75">
        <f>Y12/1.15</f>
        <v/>
      </c>
      <c r="AA12" s="487" t="n"/>
      <c r="AB12" s="310" t="n">
        <v>32407.91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161398.59</v>
      </c>
      <c r="C13" s="310" t="n">
        <v>170480.68</v>
      </c>
      <c r="D13" s="489" t="n"/>
      <c r="E13" s="86">
        <f>IFERROR((SUM(B13-C13)/C13),0)</f>
        <v/>
      </c>
      <c r="F13" s="310" t="n">
        <v>558174.96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512</v>
      </c>
      <c r="K13" s="84">
        <f>IFERROR(B13/J13,0)</f>
        <v/>
      </c>
      <c r="L13" s="310" t="n">
        <v>63</v>
      </c>
      <c r="M13" s="310" t="n">
        <v>6433.47</v>
      </c>
      <c r="N13" s="479">
        <f>IFERROR(M13/J13,0)</f>
        <v/>
      </c>
      <c r="O13" s="310" t="n">
        <v>311</v>
      </c>
      <c r="P13" s="310" t="n">
        <v>27326.93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6402.85</v>
      </c>
      <c r="W13" s="486" t="n"/>
      <c r="X13" s="483" t="n"/>
      <c r="Y13" s="310" t="n">
        <v>24526</v>
      </c>
      <c r="Z13" s="75">
        <f>Y13/1.15</f>
        <v/>
      </c>
      <c r="AA13" s="487" t="n"/>
      <c r="AB13" s="310" t="n">
        <v>23834.53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139638.43</v>
      </c>
      <c r="C14" s="310" t="n">
        <v>140702.34</v>
      </c>
      <c r="D14" s="489" t="n">
        <v>144600.03</v>
      </c>
      <c r="E14" s="86">
        <f>IFERROR((SUM(B14-C14)/C14),0)</f>
        <v/>
      </c>
      <c r="F14" s="310" t="n">
        <v>464653.51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469</v>
      </c>
      <c r="K14" s="84">
        <f>IFERROR(B14/J14,0)</f>
        <v/>
      </c>
      <c r="L14" s="310" t="n">
        <v>74</v>
      </c>
      <c r="M14" s="310" t="n">
        <v>7020.61</v>
      </c>
      <c r="N14" s="479">
        <f>IFERROR(M14/J14,0)</f>
        <v/>
      </c>
      <c r="O14" s="310" t="n">
        <v>247</v>
      </c>
      <c r="P14" s="310" t="n">
        <v>25116.47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6244.63</v>
      </c>
      <c r="W14" s="488" t="n"/>
      <c r="X14" s="483" t="n"/>
      <c r="Y14" s="310" t="n">
        <v>47118.96</v>
      </c>
      <c r="Z14" s="75">
        <f>Y14/1.15</f>
        <v/>
      </c>
      <c r="AA14" s="487" t="n"/>
      <c r="AB14" s="310" t="n">
        <v>25164.8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143973.43</v>
      </c>
      <c r="C15" s="310" t="n">
        <v>143628.35</v>
      </c>
      <c r="D15" s="489" t="n">
        <v>152846.04</v>
      </c>
      <c r="E15" s="86">
        <f>IFERROR((SUM(B15-C15)/C15),0)</f>
        <v/>
      </c>
      <c r="F15" s="310" t="n">
        <v>448159.78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460</v>
      </c>
      <c r="K15" s="84">
        <f>IFERROR(B15/J15,0)</f>
        <v/>
      </c>
      <c r="L15" s="310" t="n">
        <v>33</v>
      </c>
      <c r="M15" s="310" t="n">
        <v>2746.57</v>
      </c>
      <c r="N15" s="479">
        <f>IFERROR(M15/J15,0)</f>
        <v/>
      </c>
      <c r="O15" s="310" t="n">
        <v>134</v>
      </c>
      <c r="P15" s="310" t="n">
        <v>11351.41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4720</v>
      </c>
      <c r="W15" s="488" t="n"/>
      <c r="X15" s="483" t="n"/>
      <c r="Y15" s="310" t="n">
        <v>24625.16</v>
      </c>
      <c r="Z15" s="75">
        <f>Y15/1.15</f>
        <v/>
      </c>
      <c r="AA15" s="487" t="n"/>
      <c r="AB15" s="310" t="n">
        <v>23982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23"/>
  <sheetViews>
    <sheetView zoomScale="70" zoomScaleNormal="70" workbookViewId="0">
      <selection activeCell="F35" sqref="F35"/>
    </sheetView>
  </sheetViews>
  <sheetFormatPr baseColWidth="8" defaultRowHeight="14.4"/>
  <cols>
    <col width="37.33203125" bestFit="1" customWidth="1" min="1" max="2"/>
    <col width="13.44140625" bestFit="1" customWidth="1" min="3" max="3"/>
    <col width="19.33203125" bestFit="1" customWidth="1" min="4" max="4"/>
    <col width="7.6640625" bestFit="1" customWidth="1" min="5" max="5"/>
    <col width="23.5546875" bestFit="1" customWidth="1" min="6" max="6"/>
    <col width="48.44140625" customWidth="1" min="7" max="7"/>
  </cols>
  <sheetData>
    <row r="1" ht="15" customHeight="1" thickBot="1">
      <c r="A1" t="inlineStr">
        <is>
          <t>Report name</t>
        </is>
      </c>
      <c r="C1" t="inlineStr">
        <is>
          <t>Non Banking</t>
        </is>
      </c>
      <c r="D1" t="inlineStr">
        <is>
          <t>Turnover Exclusive</t>
        </is>
      </c>
      <c r="E1" t="inlineStr">
        <is>
          <t>Covers</t>
        </is>
      </c>
      <c r="G1" t="inlineStr">
        <is>
          <t>Notes</t>
        </is>
      </c>
    </row>
    <row r="2">
      <c r="A2">
        <f>VLOOKUP(B2,'Naming Convertions'!A:B,2,FALSE)</f>
        <v/>
      </c>
      <c r="B2" s="108" t="inlineStr">
        <is>
          <t>Eastern Cape - Hartenbos</t>
        </is>
      </c>
      <c r="C2" t="n">
        <v>8193.4</v>
      </c>
      <c r="D2" t="n">
        <v>163941.61</v>
      </c>
      <c r="E2" t="n">
        <v>1429</v>
      </c>
      <c r="G2" s="104" t="n"/>
    </row>
    <row r="3">
      <c r="A3">
        <f>VLOOKUP(B3,'Naming Convertions'!A:B,2,FALSE)</f>
        <v/>
      </c>
      <c r="B3" t="inlineStr">
        <is>
          <t>Gauteng - Eagles Landing</t>
        </is>
      </c>
      <c r="C3" t="n">
        <v>22738.6</v>
      </c>
      <c r="D3" t="n">
        <v>382519.05</v>
      </c>
      <c r="E3" t="n">
        <v>2541</v>
      </c>
      <c r="G3" s="105" t="n"/>
    </row>
    <row r="4">
      <c r="A4">
        <f>VLOOKUP(B4,'Naming Convertions'!A:B,2,FALSE)</f>
        <v/>
      </c>
      <c r="B4" s="103" t="inlineStr">
        <is>
          <t>Gauteng - Irene Village</t>
        </is>
      </c>
      <c r="C4" t="n">
        <v>13822.45</v>
      </c>
      <c r="D4" t="n">
        <v>277850.47</v>
      </c>
      <c r="E4" t="n">
        <v>2457</v>
      </c>
      <c r="G4" s="105" t="n"/>
    </row>
    <row r="5">
      <c r="A5">
        <f>VLOOKUP(B5,'Naming Convertions'!A:B,2,FALSE)</f>
        <v/>
      </c>
      <c r="B5" s="103" t="inlineStr">
        <is>
          <t>Gauteng - Kyalami</t>
        </is>
      </c>
      <c r="C5" t="n">
        <v>10417.3</v>
      </c>
      <c r="D5" t="n">
        <v>156915.53</v>
      </c>
      <c r="E5" t="n">
        <v>1089</v>
      </c>
      <c r="G5" s="105" t="n"/>
    </row>
    <row r="6">
      <c r="A6">
        <f>VLOOKUP(B6,'Naming Convertions'!A:B,2,FALSE)</f>
        <v/>
      </c>
      <c r="B6" s="103" t="inlineStr">
        <is>
          <t>Gauteng - Lynnridge Mall</t>
        </is>
      </c>
      <c r="C6" t="n">
        <v>12809.95</v>
      </c>
      <c r="D6" t="n">
        <v>233865.68</v>
      </c>
      <c r="E6" t="n">
        <v>1988</v>
      </c>
      <c r="G6" s="105" t="n"/>
    </row>
    <row r="7">
      <c r="A7">
        <f>VLOOKUP(B7,'Naming Convertions'!A:B,2,FALSE)</f>
        <v/>
      </c>
      <c r="B7" s="103" t="inlineStr">
        <is>
          <t>Gauteng - Melrose Arch</t>
        </is>
      </c>
      <c r="C7" t="n">
        <v>14659.2</v>
      </c>
      <c r="D7" t="n">
        <v>255721.48</v>
      </c>
      <c r="E7" t="n">
        <v>1993</v>
      </c>
      <c r="G7" s="105" t="n"/>
    </row>
    <row r="8">
      <c r="A8">
        <f>VLOOKUP(B8,'Naming Convertions'!A:B,2,FALSE)</f>
        <v/>
      </c>
      <c r="B8" s="103" t="inlineStr">
        <is>
          <t>Gauteng - Melville @ Bibloteek</t>
        </is>
      </c>
      <c r="C8" t="n">
        <v>3916.8</v>
      </c>
      <c r="D8" t="n">
        <v>149467.36</v>
      </c>
      <c r="E8" t="n">
        <v>887</v>
      </c>
      <c r="G8" s="105" t="n"/>
    </row>
    <row r="9">
      <c r="A9">
        <f>VLOOKUP(B9,'Naming Convertions'!A:B,2,FALSE)</f>
        <v/>
      </c>
      <c r="B9" s="103" t="inlineStr">
        <is>
          <t>Gauteng - Paulshof</t>
        </is>
      </c>
      <c r="C9" t="n">
        <v>12081.35</v>
      </c>
      <c r="D9" t="n">
        <v>204319.37</v>
      </c>
      <c r="E9" t="n">
        <v>1404</v>
      </c>
      <c r="G9" s="105" t="n"/>
    </row>
    <row r="10">
      <c r="A10" t="inlineStr">
        <is>
          <t>Queenswood</t>
        </is>
      </c>
      <c r="B10" s="103" t="inlineStr">
        <is>
          <t>Gauteng - Queenswood</t>
        </is>
      </c>
      <c r="C10" t="n">
        <v>6245.5</v>
      </c>
      <c r="D10" t="n">
        <v>197506.48</v>
      </c>
      <c r="E10" t="n">
        <v>1620</v>
      </c>
      <c r="G10" s="105" t="n"/>
    </row>
    <row r="11">
      <c r="A11">
        <f>VLOOKUP(B11,'Naming Convertions'!A:B,2,FALSE)</f>
        <v/>
      </c>
      <c r="B11" t="inlineStr">
        <is>
          <t>Gauteng - Rosebank</t>
        </is>
      </c>
      <c r="C11" t="n">
        <v>16713.7</v>
      </c>
      <c r="D11" t="n">
        <v>314671.8</v>
      </c>
      <c r="E11" t="n">
        <v>2352</v>
      </c>
      <c r="G11" s="105" t="n"/>
    </row>
    <row r="12">
      <c r="A12">
        <f>VLOOKUP(B12,'Naming Convertions'!A:B,2,FALSE)</f>
        <v/>
      </c>
      <c r="B12" t="inlineStr">
        <is>
          <t>Gauteng - Waterkloof Corner</t>
        </is>
      </c>
      <c r="C12" t="n">
        <v>14894.11</v>
      </c>
      <c r="D12" t="n">
        <v>146819.43</v>
      </c>
      <c r="E12" t="n">
        <v>1006</v>
      </c>
      <c r="G12" s="105" t="n"/>
    </row>
    <row r="13">
      <c r="A13">
        <f>VLOOKUP(B13,'Naming Convertions'!A:B,2,FALSE)</f>
        <v/>
      </c>
      <c r="B13" t="inlineStr">
        <is>
          <t>Western Cape - Stellenbosch Square</t>
        </is>
      </c>
      <c r="C13" t="n">
        <v>14313.2</v>
      </c>
      <c r="D13" t="n">
        <v>144817.99</v>
      </c>
      <c r="E13" t="n">
        <v>1209</v>
      </c>
      <c r="G13" s="105" t="n"/>
    </row>
    <row r="14">
      <c r="G14" s="105" t="n"/>
    </row>
    <row r="15" ht="15" customHeight="1" thickBot="1">
      <c r="A15" t="inlineStr">
        <is>
          <t>Wellington</t>
        </is>
      </c>
      <c r="C15" s="509" t="n"/>
      <c r="D15" s="509" t="n"/>
      <c r="E15" s="109" t="n"/>
      <c r="G15" s="106" t="n"/>
    </row>
    <row r="17">
      <c r="E17" s="516" t="n"/>
    </row>
    <row r="18">
      <c r="C18" s="103" t="n"/>
      <c r="D18" s="103" t="n"/>
      <c r="E18" s="103" t="n"/>
    </row>
    <row r="19">
      <c r="C19" s="517" t="n"/>
      <c r="D19" s="517" t="n"/>
      <c r="E19" s="103" t="n"/>
    </row>
    <row r="20">
      <c r="C20" s="103" t="n"/>
      <c r="D20" s="103" t="n"/>
      <c r="E20" s="103" t="n"/>
    </row>
    <row r="21">
      <c r="C21" s="103" t="n"/>
      <c r="D21" s="103" t="n"/>
      <c r="E21" s="103" t="n"/>
    </row>
    <row r="22">
      <c r="C22" s="103" t="n"/>
      <c r="D22" s="103" t="n"/>
      <c r="E22" s="103" t="n"/>
    </row>
    <row r="23">
      <c r="C23" s="517" t="n"/>
      <c r="D23" s="517" t="n"/>
      <c r="E23" s="103" t="n"/>
    </row>
  </sheetData>
  <pageMargins left="0.7" right="0.7" top="0.75" bottom="0.75" header="0.3" footer="0.3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223716.88</v>
      </c>
      <c r="C5" s="310" t="n">
        <v>245552.6</v>
      </c>
      <c r="D5" s="489" t="n">
        <v>166877.21</v>
      </c>
      <c r="E5" s="494">
        <f>IFERROR((SUM(B5-C5)/C5),0)</f>
        <v/>
      </c>
      <c r="F5" s="310" t="n">
        <v>1267434.3</v>
      </c>
      <c r="G5" s="310" t="n">
        <v>233558.86</v>
      </c>
      <c r="H5" s="467">
        <f>IFERROR((SUM(B5-G5)/G5),0)</f>
        <v/>
      </c>
      <c r="I5" s="86">
        <f>IFERROR((SUM(B5-D5)/D5),0)</f>
        <v/>
      </c>
      <c r="J5" s="310" t="n">
        <v>617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2876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29905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252646.93</v>
      </c>
      <c r="C6" s="310" t="n">
        <v>227209.77</v>
      </c>
      <c r="D6" s="489" t="n">
        <v>317233.92</v>
      </c>
      <c r="E6" s="494">
        <f>IFERROR((SUM(B6-C6)/C6),0)</f>
        <v/>
      </c>
      <c r="F6" s="310" t="n">
        <v>1012578.71</v>
      </c>
      <c r="G6" s="310" t="n">
        <v>240257.2</v>
      </c>
      <c r="H6" s="467">
        <f>IFERROR((SUM(B6-G6)/G6),0)</f>
        <v/>
      </c>
      <c r="I6" s="86">
        <f>IFERROR((SUM(B6-D6)/D6),0)</f>
        <v/>
      </c>
      <c r="J6" s="310" t="n">
        <v>666</v>
      </c>
      <c r="K6" s="84">
        <f>IFERROR(B6/J6,0)</f>
        <v/>
      </c>
      <c r="L6" s="310" t="n">
        <v>87</v>
      </c>
      <c r="M6" s="310" t="n">
        <v>9880.030000000001</v>
      </c>
      <c r="N6" s="479">
        <f>IFERROR(O7/J6,0)</f>
        <v/>
      </c>
      <c r="O6" s="310" t="n">
        <v>377</v>
      </c>
      <c r="P6" s="310" t="n">
        <v>38695.26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7534.5</v>
      </c>
      <c r="W6" s="488" t="n"/>
      <c r="X6" s="483" t="n"/>
      <c r="Y6" s="310" t="n">
        <v>50267.08</v>
      </c>
      <c r="Z6" s="75">
        <f>Y6/1.15</f>
        <v/>
      </c>
      <c r="AA6" s="487" t="n"/>
      <c r="AB6" s="310" t="n">
        <v>32921.69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262968.59</v>
      </c>
      <c r="C7" s="310" t="n">
        <v>252535.33</v>
      </c>
      <c r="D7" s="489" t="n">
        <v>254835.6</v>
      </c>
      <c r="E7" s="494">
        <f>IFERROR((SUM(B7-C7)/C7),0)</f>
        <v/>
      </c>
      <c r="F7" s="310" t="n">
        <v>1181822.9</v>
      </c>
      <c r="G7" s="310" t="n">
        <v>262360.31</v>
      </c>
      <c r="H7" s="467">
        <f>IFERROR((SUM(B7-G7)/G7),0)</f>
        <v/>
      </c>
      <c r="I7" s="86">
        <f>IFERROR((SUM(B7-D7)/D7),0)</f>
        <v/>
      </c>
      <c r="J7" s="310" t="n">
        <v>725</v>
      </c>
      <c r="K7" s="84">
        <f>IFERROR(B7/J7,0)</f>
        <v/>
      </c>
      <c r="L7" s="310" t="n">
        <v>67</v>
      </c>
      <c r="M7" s="310" t="n">
        <v>6306.1</v>
      </c>
      <c r="N7" s="479">
        <f>IFERROR(#REF!/J7,0)</f>
        <v/>
      </c>
      <c r="O7" s="310" t="n">
        <v>197</v>
      </c>
      <c r="P7" s="310" t="n">
        <v>20117.9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13441.36</v>
      </c>
      <c r="W7" s="488" t="n"/>
      <c r="X7" s="483" t="n"/>
      <c r="Y7" s="310" t="n">
        <v>43163.32</v>
      </c>
      <c r="Z7" s="75">
        <f>Y7/1.15</f>
        <v/>
      </c>
      <c r="AA7" s="487" t="n"/>
      <c r="AB7" s="310" t="n">
        <v>4951.8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>
        <v>52368.39</v>
      </c>
      <c r="G8" s="310" t="n">
        <v>151370.58</v>
      </c>
      <c r="H8" s="467">
        <f>IFERROR((SUM(B8-G8)/G8),0)</f>
        <v/>
      </c>
      <c r="I8" s="86">
        <f>IFERROR((SUM(B8-D8)/D8),0)</f>
        <v/>
      </c>
      <c r="J8" s="310" t="n">
        <v>50</v>
      </c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241619.52</v>
      </c>
      <c r="C9" s="310" t="n">
        <v>178117.45</v>
      </c>
      <c r="D9" s="489" t="n">
        <v>243010.12</v>
      </c>
      <c r="E9" s="494">
        <f>IFERROR((SUM(B9-C9)/C9),0)</f>
        <v/>
      </c>
      <c r="F9" s="310" t="n">
        <v>927507.86</v>
      </c>
      <c r="G9" s="310" t="n">
        <v>193389.34</v>
      </c>
      <c r="H9" s="467">
        <f>IFERROR((SUM(B9-G9)/G9),0)</f>
        <v/>
      </c>
      <c r="I9" s="86">
        <f>IFERROR((SUM(B9-D9)/D9),0)</f>
        <v/>
      </c>
      <c r="J9" s="310" t="n">
        <v>694</v>
      </c>
      <c r="K9" s="84">
        <f>IFERROR(B9/J9,0)</f>
        <v/>
      </c>
      <c r="L9" s="310" t="n">
        <v>60</v>
      </c>
      <c r="M9" s="310" t="n">
        <v>6495.38</v>
      </c>
      <c r="N9" s="479">
        <f>IFERROR(M9/J9,0)</f>
        <v/>
      </c>
      <c r="O9" s="310" t="n">
        <v>273</v>
      </c>
      <c r="P9" s="310" t="n">
        <v>24030.44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7973.3</v>
      </c>
      <c r="W9" s="488" t="n"/>
      <c r="X9" s="483" t="n"/>
      <c r="Y9" s="310" t="n">
        <v>33456.46</v>
      </c>
      <c r="Z9" s="75">
        <f>Y9/1.15</f>
        <v/>
      </c>
      <c r="AA9" s="487" t="n"/>
      <c r="AB9" s="310" t="n">
        <v>33706.35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288431.05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310" t="n"/>
      <c r="M10" s="310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148795.95</v>
      </c>
      <c r="C11" s="310" t="n">
        <v>152081.29</v>
      </c>
      <c r="D11" s="489" t="n">
        <v>86713.33</v>
      </c>
      <c r="E11" s="494">
        <f>IFERROR((SUM(B11-C11)/C11),0)</f>
        <v/>
      </c>
      <c r="F11" s="310" t="n">
        <v>577486.92</v>
      </c>
      <c r="G11" s="310" t="n">
        <v>131691.3</v>
      </c>
      <c r="H11" s="467">
        <f>IFERROR((SUM(B11-G11)/G11),0)</f>
        <v/>
      </c>
      <c r="I11" s="86">
        <f>IFERROR((SUM(#REF!-D11)/D11),0)</f>
        <v/>
      </c>
      <c r="J11" s="310" t="n">
        <v>500</v>
      </c>
      <c r="K11" s="84">
        <f>IFERROR(B12/J12,0)</f>
        <v/>
      </c>
      <c r="L11" s="310" t="n">
        <v>240</v>
      </c>
      <c r="M11" s="310" t="n">
        <v>23778.11</v>
      </c>
      <c r="N11" s="479">
        <f>IFERROR(#REF!/J12,0)</f>
        <v/>
      </c>
      <c r="O11" s="310" t="n">
        <v>807</v>
      </c>
      <c r="P11" s="310" t="n">
        <v>78277.59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4811.4</v>
      </c>
      <c r="W11" s="488" t="n"/>
      <c r="X11" s="483" t="n"/>
      <c r="Y11" s="310" t="n">
        <v>47313.39</v>
      </c>
      <c r="Z11" s="75">
        <f>Y11/1.15</f>
        <v/>
      </c>
      <c r="AA11" s="487" t="n"/>
      <c r="AB11" s="310" t="n">
        <v>22151.27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245998.27</v>
      </c>
      <c r="C12" s="310" t="n">
        <v>196594.01</v>
      </c>
      <c r="D12" s="489" t="n">
        <v>206751.49</v>
      </c>
      <c r="E12" s="494">
        <f>IFERROR((SUM(B12-C12)/C12),0)</f>
        <v/>
      </c>
      <c r="F12" s="310" t="n">
        <v>946832.26</v>
      </c>
      <c r="G12" s="310" t="n">
        <v>171116.79</v>
      </c>
      <c r="H12" s="467">
        <f>IFERROR((SUM(B12-G12)/G12),0)</f>
        <v/>
      </c>
      <c r="I12" s="86">
        <f>IFERROR((SUM(B12-D12)/D12),0)</f>
        <v/>
      </c>
      <c r="J12" s="310" t="n">
        <v>793</v>
      </c>
      <c r="K12" s="84">
        <f>IFERROR(B12/J12,0)</f>
        <v/>
      </c>
      <c r="L12" s="310" t="n">
        <v>272</v>
      </c>
      <c r="M12" s="310" t="n">
        <v>26496.7</v>
      </c>
      <c r="N12" s="479">
        <f>IFERROR(M12/J12,0)</f>
        <v/>
      </c>
      <c r="O12" s="310" t="n">
        <v>908</v>
      </c>
      <c r="P12" s="310" t="n">
        <v>85504.16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3840</v>
      </c>
      <c r="W12" s="486" t="n"/>
      <c r="X12" s="483" t="n"/>
      <c r="Y12" s="310" t="n">
        <v>53364.22</v>
      </c>
      <c r="Z12" s="75">
        <f>Y12/1.15</f>
        <v/>
      </c>
      <c r="AA12" s="487" t="n"/>
      <c r="AB12" s="310" t="n">
        <v>48528.8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178310.37</v>
      </c>
      <c r="C13" s="310" t="n">
        <v>161398.59</v>
      </c>
      <c r="D13" s="489" t="n"/>
      <c r="E13" s="494">
        <f>IFERROR((SUM(B13-C13)/C13),0)</f>
        <v/>
      </c>
      <c r="F13" s="310" t="n">
        <v>736485.33</v>
      </c>
      <c r="G13" s="310" t="n">
        <v>155532.37</v>
      </c>
      <c r="H13" s="467">
        <f>IFERROR((SUM(B13-G13)/G13),0)</f>
        <v/>
      </c>
      <c r="I13" s="86">
        <f>IFERROR((SUM(B13-D13)/D13),0)</f>
        <v/>
      </c>
      <c r="J13" s="310" t="n">
        <v>581</v>
      </c>
      <c r="K13" s="84">
        <f>IFERROR(B13/J13,0)</f>
        <v/>
      </c>
      <c r="L13" s="310" t="n">
        <v>96</v>
      </c>
      <c r="M13" s="310" t="n">
        <v>8785.049999999999</v>
      </c>
      <c r="N13" s="479">
        <f>IFERROR(M13/J13,0)</f>
        <v/>
      </c>
      <c r="O13" s="310" t="n">
        <v>407</v>
      </c>
      <c r="P13" s="310" t="n">
        <v>36111.98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5345.7</v>
      </c>
      <c r="W13" s="486" t="n"/>
      <c r="X13" s="483" t="n"/>
      <c r="Y13" s="310" t="n">
        <v>28346.91</v>
      </c>
      <c r="Z13" s="75">
        <f>Y13/1.15</f>
        <v/>
      </c>
      <c r="AA13" s="487" t="n"/>
      <c r="AB13" s="310" t="n">
        <v>27125.18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189570.96</v>
      </c>
      <c r="C14" s="310" t="n">
        <v>139638.43</v>
      </c>
      <c r="D14" s="489" t="n">
        <v>144600.03</v>
      </c>
      <c r="E14" s="494">
        <f>IFERROR((SUM(B14-C14)/C14),0)</f>
        <v/>
      </c>
      <c r="F14" s="310" t="n">
        <v>654224.47</v>
      </c>
      <c r="G14" s="310" t="n">
        <v>157170.6</v>
      </c>
      <c r="H14" s="467">
        <f>IFERROR((SUM(B14-G14)/G14),0)</f>
        <v/>
      </c>
      <c r="I14" s="86">
        <f>IFERROR((SUM(B14-D14)/D14),0)</f>
        <v/>
      </c>
      <c r="J14" s="310" t="n">
        <v>543</v>
      </c>
      <c r="K14" s="84">
        <f>IFERROR(B14/J14,0)</f>
        <v/>
      </c>
      <c r="L14" s="310" t="n">
        <v>141</v>
      </c>
      <c r="M14" s="310" t="n">
        <v>12194.32</v>
      </c>
      <c r="N14" s="479">
        <f>IFERROR(M14/J14,0)</f>
        <v/>
      </c>
      <c r="O14" s="310" t="n">
        <v>388</v>
      </c>
      <c r="P14" s="310" t="n">
        <v>37310.79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8487.26</v>
      </c>
      <c r="W14" s="488" t="n"/>
      <c r="X14" s="483" t="n"/>
      <c r="Y14" s="310" t="n">
        <v>37904.66</v>
      </c>
      <c r="Z14" s="75">
        <f>Y14/1.15</f>
        <v/>
      </c>
      <c r="AA14" s="487" t="n"/>
      <c r="AB14" s="310" t="n">
        <v>17872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178531.81</v>
      </c>
      <c r="C15" s="310" t="n">
        <v>143973.43</v>
      </c>
      <c r="D15" s="489" t="n">
        <v>152846.04</v>
      </c>
      <c r="E15" s="494">
        <f>IFERROR((SUM(B15-C15)/C15),0)</f>
        <v/>
      </c>
      <c r="F15" s="310" t="n">
        <v>626691.59</v>
      </c>
      <c r="G15" s="310" t="n">
        <v>111700.34</v>
      </c>
      <c r="H15" s="467">
        <f>IFERROR((SUM(B15-G15)/G15),0)</f>
        <v/>
      </c>
      <c r="I15" s="86">
        <f>IFERROR((SUM(B15-D15)/D15),0)</f>
        <v/>
      </c>
      <c r="J15" s="310" t="n">
        <v>523</v>
      </c>
      <c r="K15" s="84">
        <f>IFERROR(B15/J15,0)</f>
        <v/>
      </c>
      <c r="L15" s="310" t="n">
        <v>35</v>
      </c>
      <c r="M15" s="310" t="n">
        <v>2646.09</v>
      </c>
      <c r="N15" s="479">
        <f>IFERROR(M15/J15,0)</f>
        <v/>
      </c>
      <c r="O15" s="310" t="n">
        <v>169</v>
      </c>
      <c r="P15" s="310" t="n">
        <v>13997.5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4348.5</v>
      </c>
      <c r="W15" s="488" t="n"/>
      <c r="X15" s="483" t="n"/>
      <c r="Y15" s="310" t="n">
        <v>33159.2</v>
      </c>
      <c r="Z15" s="75">
        <f>Y15/1.15</f>
        <v/>
      </c>
      <c r="AA15" s="487" t="n"/>
      <c r="AB15" s="310" t="n">
        <v>28164.21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9 K10 K11:U15 N10:U10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263188.61</v>
      </c>
      <c r="C5" s="310" t="n">
        <v>223716.88</v>
      </c>
      <c r="D5" s="489" t="n">
        <v>166877.21</v>
      </c>
      <c r="E5" s="494">
        <f>IFERROR((SUM(B5-C5)/C5),0)</f>
        <v/>
      </c>
      <c r="F5" s="310" t="n">
        <v>242292.79</v>
      </c>
      <c r="G5" s="310" t="n">
        <v>223073.31</v>
      </c>
      <c r="H5" s="467">
        <f>IFERROR((SUM(B5-G5)/G5),0)</f>
        <v/>
      </c>
      <c r="I5" s="86">
        <f>IFERROR((SUM(B5-D5)/D5),0)</f>
        <v/>
      </c>
      <c r="J5" s="310" t="n">
        <v>726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1895.5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25590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215281.39</v>
      </c>
      <c r="C6" s="310" t="n">
        <v>252646.93</v>
      </c>
      <c r="D6" s="489" t="n">
        <v>317233.92</v>
      </c>
      <c r="E6" s="494">
        <f>IFERROR((SUM(B6-C6)/C6),0)</f>
        <v/>
      </c>
      <c r="F6" s="310" t="n">
        <v>195144.56</v>
      </c>
      <c r="G6" s="310" t="n">
        <v>246017.55</v>
      </c>
      <c r="H6" s="467">
        <f>IFERROR((SUM(B6-G6)/G6),0)</f>
        <v/>
      </c>
      <c r="I6" s="86">
        <f>IFERROR((SUM(B6-D6)/D6),0)</f>
        <v/>
      </c>
      <c r="J6" s="310" t="n">
        <v>652</v>
      </c>
      <c r="K6" s="84">
        <f>IFERROR(B6/J6,0)</f>
        <v/>
      </c>
      <c r="L6" s="310" t="n">
        <v>101</v>
      </c>
      <c r="M6" s="310" t="n">
        <v>10151.34</v>
      </c>
      <c r="N6" s="479">
        <f>IFERROR(O7/J6,0)</f>
        <v/>
      </c>
      <c r="O6" s="310" t="n">
        <v>96</v>
      </c>
      <c r="P6" s="310" t="n">
        <v>9639.59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7649.55</v>
      </c>
      <c r="W6" s="488" t="n"/>
      <c r="X6" s="483" t="n"/>
      <c r="Y6" s="310" t="n">
        <v>46917.81</v>
      </c>
      <c r="Z6" s="75">
        <f>Y6/1.15</f>
        <v/>
      </c>
      <c r="AA6" s="487" t="n"/>
      <c r="AB6" s="310" t="n">
        <v>26124.5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244637.43</v>
      </c>
      <c r="C7" s="310" t="n">
        <v>262968.59</v>
      </c>
      <c r="D7" s="489" t="n">
        <v>254835.6</v>
      </c>
      <c r="E7" s="494">
        <f>IFERROR((SUM(B7-C7)/C7),0)</f>
        <v/>
      </c>
      <c r="F7" s="310" t="n">
        <v>226353.05</v>
      </c>
      <c r="G7" s="310" t="n">
        <v>222929.78</v>
      </c>
      <c r="H7" s="467">
        <f>IFERROR((SUM(B7-G7)/G7),0)</f>
        <v/>
      </c>
      <c r="I7" s="86">
        <f>IFERROR((SUM(B7-D7)/D7),0)</f>
        <v/>
      </c>
      <c r="J7" s="310" t="n">
        <v>694</v>
      </c>
      <c r="K7" s="84">
        <f>IFERROR(B7/J7,0)</f>
        <v/>
      </c>
      <c r="L7" s="310" t="n">
        <v>67</v>
      </c>
      <c r="M7" s="310" t="n">
        <v>6529.81</v>
      </c>
      <c r="N7" s="479">
        <f>IFERROR(#REF!/J7,0)</f>
        <v/>
      </c>
      <c r="O7" s="310" t="n">
        <v>53</v>
      </c>
      <c r="P7" s="310" t="n">
        <v>5489.24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23312.5</v>
      </c>
      <c r="W7" s="488" t="n"/>
      <c r="X7" s="483" t="n"/>
      <c r="Y7" s="310" t="n">
        <v>44001.58</v>
      </c>
      <c r="Z7" s="75">
        <f>Y7/1.15</f>
        <v/>
      </c>
      <c r="AA7" s="487" t="n"/>
      <c r="AB7" s="310" t="n">
        <v>5151.1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142525.06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184879.71</v>
      </c>
      <c r="C9" s="310" t="n">
        <v>241619.52</v>
      </c>
      <c r="D9" s="489" t="n">
        <v>243010.12</v>
      </c>
      <c r="E9" s="494">
        <f>IFERROR((SUM(B9-C9)/C9),0)</f>
        <v/>
      </c>
      <c r="F9" s="310" t="n">
        <v>173146.52</v>
      </c>
      <c r="G9" s="310" t="n">
        <v>210674.76</v>
      </c>
      <c r="H9" s="467">
        <f>IFERROR((SUM(B9-G9)/G9),0)</f>
        <v/>
      </c>
      <c r="I9" s="86">
        <f>IFERROR((SUM(B9-D9)/D9),0)</f>
        <v/>
      </c>
      <c r="J9" s="310" t="n">
        <v>622</v>
      </c>
      <c r="K9" s="84">
        <f>IFERROR(B9/J9,0)</f>
        <v/>
      </c>
      <c r="L9" s="310" t="n">
        <v>54</v>
      </c>
      <c r="M9" s="310" t="n">
        <v>4823.75</v>
      </c>
      <c r="N9" s="479">
        <f>IFERROR(M9/J9,0)</f>
        <v/>
      </c>
      <c r="O9" s="310" t="n">
        <v>44</v>
      </c>
      <c r="P9" s="310" t="n">
        <v>3731.42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6545.5</v>
      </c>
      <c r="W9" s="488" t="n"/>
      <c r="X9" s="483" t="n"/>
      <c r="Y9" s="310" t="n">
        <v>26820.98</v>
      </c>
      <c r="Z9" s="75">
        <f>Y9/1.15</f>
        <v/>
      </c>
      <c r="AA9" s="487" t="n"/>
      <c r="AB9" s="310" t="n">
        <v>36538.13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253761.63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150790.1</v>
      </c>
      <c r="C11" s="310" t="n">
        <v>148795.95</v>
      </c>
      <c r="D11" s="489" t="n">
        <v>86713.33</v>
      </c>
      <c r="E11" s="494">
        <f>IFERROR((SUM(B11-C11)/C11),0)</f>
        <v/>
      </c>
      <c r="F11" s="310" t="n">
        <v>135244.89</v>
      </c>
      <c r="G11" s="310" t="n">
        <v>137253.75</v>
      </c>
      <c r="H11" s="467">
        <f>IFERROR((SUM(B11-G11)/G11),0)</f>
        <v/>
      </c>
      <c r="I11" s="86">
        <f>IFERROR((SUM(#REF!-D11)/D11),0)</f>
        <v/>
      </c>
      <c r="J11" s="310" t="n">
        <v>510</v>
      </c>
      <c r="K11" s="84">
        <f>IFERROR(B12/J12,0)</f>
        <v/>
      </c>
      <c r="L11" s="310" t="n">
        <v>213</v>
      </c>
      <c r="M11" s="310" t="n">
        <v>20416.46</v>
      </c>
      <c r="N11" s="479">
        <f>IFERROR(#REF!/J12,0)</f>
        <v/>
      </c>
      <c r="O11" s="310" t="n">
        <v>199</v>
      </c>
      <c r="P11" s="310" t="n">
        <v>19222.69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3682</v>
      </c>
      <c r="W11" s="488" t="n"/>
      <c r="X11" s="483" t="n"/>
      <c r="Y11" s="310" t="n">
        <v>50140.35</v>
      </c>
      <c r="Z11" s="75">
        <f>Y11/1.15</f>
        <v/>
      </c>
      <c r="AA11" s="487" t="n"/>
      <c r="AB11" s="310" t="n">
        <v>30234.77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199450.13</v>
      </c>
      <c r="C12" s="310" t="n">
        <v>245998.27</v>
      </c>
      <c r="D12" s="489" t="n">
        <v>206751.49</v>
      </c>
      <c r="E12" s="494">
        <f>IFERROR((SUM(B12-C12)/C12),0)</f>
        <v/>
      </c>
      <c r="F12" s="310" t="n">
        <v>181782.9</v>
      </c>
      <c r="G12" s="310" t="n">
        <v>203624.91</v>
      </c>
      <c r="H12" s="467">
        <f>IFERROR((SUM(B12-G12)/G12),0)</f>
        <v/>
      </c>
      <c r="I12" s="86">
        <f>IFERROR((SUM(B12-D12)/D12),0)</f>
        <v/>
      </c>
      <c r="J12" s="310" t="n">
        <v>683</v>
      </c>
      <c r="K12" s="84">
        <f>IFERROR(B12/J12,0)</f>
        <v/>
      </c>
      <c r="L12" s="310" t="n">
        <v>232</v>
      </c>
      <c r="M12" s="310" t="n">
        <v>24374.12</v>
      </c>
      <c r="N12" s="479">
        <f>IFERROR(M12/J12,0)</f>
        <v/>
      </c>
      <c r="O12" s="310" t="n">
        <v>202</v>
      </c>
      <c r="P12" s="310" t="n">
        <v>21598.72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7046</v>
      </c>
      <c r="W12" s="486" t="n"/>
      <c r="X12" s="483" t="n"/>
      <c r="Y12" s="310" t="n">
        <v>36625.16</v>
      </c>
      <c r="Z12" s="75">
        <f>Y12/1.15</f>
        <v/>
      </c>
      <c r="AA12" s="487" t="n"/>
      <c r="AB12" s="310" t="n">
        <v>42608.73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177417.58</v>
      </c>
      <c r="C13" s="310" t="n">
        <v>178310.37</v>
      </c>
      <c r="D13" s="489" t="n"/>
      <c r="E13" s="494">
        <f>IFERROR((SUM(B13-C13)/C13),0)</f>
        <v/>
      </c>
      <c r="F13" s="310" t="n">
        <v>163576.94</v>
      </c>
      <c r="G13" s="310" t="n">
        <v>149649.69</v>
      </c>
      <c r="H13" s="467">
        <f>IFERROR((SUM(B13-G13)/G13),0)</f>
        <v/>
      </c>
      <c r="I13" s="86">
        <f>IFERROR((SUM(B13-D13)/D13),0)</f>
        <v/>
      </c>
      <c r="J13" s="310" t="n">
        <v>559</v>
      </c>
      <c r="K13" s="84">
        <f>IFERROR(B13/J13,0)</f>
        <v/>
      </c>
      <c r="L13" s="310" t="n">
        <v>101</v>
      </c>
      <c r="M13" s="310" t="n">
        <v>9110.549999999999</v>
      </c>
      <c r="N13" s="479">
        <f>IFERROR(M13/J13,0)</f>
        <v/>
      </c>
      <c r="O13" s="310" t="n">
        <v>95</v>
      </c>
      <c r="P13" s="310" t="n">
        <v>8571.83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5812.1</v>
      </c>
      <c r="W13" s="486" t="n"/>
      <c r="X13" s="483" t="n"/>
      <c r="Y13" s="310" t="n">
        <v>24631.43</v>
      </c>
      <c r="Z13" s="75">
        <f>Y13/1.15</f>
        <v/>
      </c>
      <c r="AA13" s="487" t="n"/>
      <c r="AB13" s="310" t="n">
        <v>34263.26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181408.54</v>
      </c>
      <c r="C14" s="310" t="n">
        <v>189570.96</v>
      </c>
      <c r="D14" s="489" t="n">
        <v>144600.03</v>
      </c>
      <c r="E14" s="494">
        <f>IFERROR((SUM(B14-C14)/C14),0)</f>
        <v/>
      </c>
      <c r="F14" s="310" t="n">
        <v>160734.58</v>
      </c>
      <c r="G14" s="310" t="n">
        <v>174804.45</v>
      </c>
      <c r="H14" s="467">
        <f>IFERROR((SUM(B14-G14)/G14),0)</f>
        <v/>
      </c>
      <c r="I14" s="86">
        <f>IFERROR((SUM(B14-D14)/D14),0)</f>
        <v/>
      </c>
      <c r="J14" s="310" t="n">
        <v>524</v>
      </c>
      <c r="K14" s="84">
        <f>IFERROR(B14/J14,0)</f>
        <v/>
      </c>
      <c r="L14" s="310" t="n">
        <v>109</v>
      </c>
      <c r="M14" s="310" t="n">
        <v>9430.200000000001</v>
      </c>
      <c r="N14" s="479">
        <f>IFERROR(M14/J14,0)</f>
        <v/>
      </c>
      <c r="O14" s="310" t="n">
        <v>97</v>
      </c>
      <c r="P14" s="310" t="n">
        <v>8371.51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4057.9</v>
      </c>
      <c r="W14" s="488" t="n"/>
      <c r="X14" s="483" t="n"/>
      <c r="Y14" s="310" t="n">
        <v>43386.68</v>
      </c>
      <c r="Z14" s="75">
        <f>Y14/1.15</f>
        <v/>
      </c>
      <c r="AA14" s="487" t="n"/>
      <c r="AB14" s="310" t="n">
        <v>25455.85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153048.52</v>
      </c>
      <c r="C15" s="310" t="n">
        <v>178531.81</v>
      </c>
      <c r="D15" s="489" t="n">
        <v>152846.04</v>
      </c>
      <c r="E15" s="494">
        <f>IFERROR((SUM(B15-C15)/C15),0)</f>
        <v/>
      </c>
      <c r="F15" s="310" t="n">
        <v>141869.62</v>
      </c>
      <c r="G15" s="310" t="n">
        <v>131370.49</v>
      </c>
      <c r="H15" s="467">
        <f>IFERROR((SUM(B15-G15)/G15),0)</f>
        <v/>
      </c>
      <c r="I15" s="86">
        <f>IFERROR((SUM(B15-D15)/D15),0)</f>
        <v/>
      </c>
      <c r="J15" s="310" t="n">
        <v>517</v>
      </c>
      <c r="K15" s="84">
        <f>IFERROR(B15/J15,0)</f>
        <v/>
      </c>
      <c r="L15" s="310" t="n">
        <v>16</v>
      </c>
      <c r="M15" s="310" t="n">
        <v>2026.2</v>
      </c>
      <c r="N15" s="479">
        <f>IFERROR(M15/J15,0)</f>
        <v/>
      </c>
      <c r="O15" s="310" t="n">
        <v>15</v>
      </c>
      <c r="P15" s="310" t="n">
        <v>1928.5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3958</v>
      </c>
      <c r="W15" s="488" t="n"/>
      <c r="X15" s="483" t="n"/>
      <c r="Y15" s="310" t="n">
        <v>20395.09</v>
      </c>
      <c r="Z15" s="75">
        <f>Y15/1.15</f>
        <v/>
      </c>
      <c r="AA15" s="487" t="n"/>
      <c r="AB15" s="310" t="n">
        <v>26288.38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36">
        <f>IFERROR((SUM(B4-G4)/G4),0)</f>
        <v/>
      </c>
      <c r="I4" s="436">
        <f>IFERROR((SUM(B4-D4)/D4),0)</f>
        <v/>
      </c>
      <c r="J4" s="480">
        <f>SUM(J5:J15)</f>
        <v/>
      </c>
      <c r="K4" s="474">
        <f>AVERAGE(K5:K15)</f>
        <v/>
      </c>
      <c r="L4" s="474">
        <f>SUM(L6:L15)</f>
        <v/>
      </c>
      <c r="M4" s="439">
        <f>SUM(M5:M15)</f>
        <v/>
      </c>
      <c r="N4" s="442">
        <f>IFERROR(M4/J4,0)</f>
        <v/>
      </c>
      <c r="O4" s="473">
        <f>SUM(O6:O15)</f>
        <v/>
      </c>
      <c r="P4" s="475">
        <f>SUM(P7:P15)</f>
        <v/>
      </c>
      <c r="Q4" s="442">
        <f>IFERROR(P4/SUM(J4),0)</f>
        <v/>
      </c>
      <c r="R4" s="455">
        <f>SUM(R5:R15)</f>
        <v/>
      </c>
      <c r="S4" s="442">
        <f>SUM(R4/B4)</f>
        <v/>
      </c>
      <c r="T4" s="45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328440.5</v>
      </c>
      <c r="C5" s="310" t="n">
        <v>263188.61</v>
      </c>
      <c r="D5" s="489" t="n">
        <v>166877.21</v>
      </c>
      <c r="E5" s="494">
        <f>IFERROR((SUM(B5-C5)/C5),0)</f>
        <v/>
      </c>
      <c r="F5" s="310" t="n">
        <v>570733.29</v>
      </c>
      <c r="G5" s="310" t="n">
        <v>250229.34</v>
      </c>
      <c r="H5" s="467">
        <f>IFERROR((SUM(B5-G5)/G5),0)</f>
        <v/>
      </c>
      <c r="I5" s="86">
        <f>IFERROR((SUM(B5-D5)/D5),0)</f>
        <v/>
      </c>
      <c r="J5" t="n">
        <v>937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89">
        <f>IFERROR(P5/SUM(J5),0)</f>
        <v/>
      </c>
      <c r="R5" s="485">
        <f>SUM(Z5+AC5)</f>
        <v/>
      </c>
      <c r="S5" s="89">
        <f>SUM(R5/B5)</f>
        <v/>
      </c>
      <c r="T5" s="485">
        <f>SUM(AC5)</f>
        <v/>
      </c>
      <c r="U5" s="89">
        <f>SUM(T5/B5)</f>
        <v/>
      </c>
      <c r="V5" s="310" t="n">
        <v>3326.2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28644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210918.38</v>
      </c>
      <c r="C6" s="310" t="n">
        <v>215281.39</v>
      </c>
      <c r="D6" s="489" t="n">
        <v>317233.92</v>
      </c>
      <c r="E6" s="494">
        <f>IFERROR((SUM(B6-C6)/C6),0)</f>
        <v/>
      </c>
      <c r="F6" s="310" t="n">
        <v>406062.94</v>
      </c>
      <c r="G6" s="310" t="n">
        <v>225621.66</v>
      </c>
      <c r="H6" s="467">
        <f>IFERROR((SUM(B6-G6)/G6),0)</f>
        <v/>
      </c>
      <c r="I6" s="86">
        <f>IFERROR((SUM(B6-D6)/D6),0)</f>
        <v/>
      </c>
      <c r="J6" t="n">
        <v>629</v>
      </c>
      <c r="K6" s="84">
        <f>IFERROR(B6/J6,0)</f>
        <v/>
      </c>
      <c r="L6" s="310" t="n">
        <v>76</v>
      </c>
      <c r="M6" s="310" t="n">
        <v>7515.86</v>
      </c>
      <c r="N6" s="479">
        <f>IFERROR(O7/J6,0)</f>
        <v/>
      </c>
      <c r="O6" s="310" t="n">
        <v>172</v>
      </c>
      <c r="P6" s="310" t="n">
        <v>17155.45</v>
      </c>
      <c r="Q6" s="89">
        <f>IFERROR(P6/SUM(J6),0)</f>
        <v/>
      </c>
      <c r="R6" s="485">
        <f>SUM(Z6+AC6)</f>
        <v/>
      </c>
      <c r="S6" s="89">
        <f>SUM(R6/B6)</f>
        <v/>
      </c>
      <c r="T6" s="485">
        <f>SUM(AC6)</f>
        <v/>
      </c>
      <c r="U6" s="89">
        <f>SUM(T6/B6)</f>
        <v/>
      </c>
      <c r="V6" s="310" t="n">
        <v>7744.25</v>
      </c>
      <c r="W6" s="488" t="n"/>
      <c r="X6" s="483" t="n"/>
      <c r="Y6" s="310" t="n">
        <v>51464.84</v>
      </c>
      <c r="Z6" s="75">
        <f>Y6/1.15</f>
        <v/>
      </c>
      <c r="AA6" s="487" t="n"/>
      <c r="AB6" s="310" t="n">
        <v>22056.5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238718.61</v>
      </c>
      <c r="C7" s="310" t="n">
        <v>244637.43</v>
      </c>
      <c r="D7" s="489" t="n">
        <v>254835.6</v>
      </c>
      <c r="E7" s="494">
        <f>IFERROR((SUM(B7-C7)/C7),0)</f>
        <v/>
      </c>
      <c r="F7" s="310" t="n">
        <v>465071.66</v>
      </c>
      <c r="G7" s="310" t="n">
        <v>251168.25</v>
      </c>
      <c r="H7" s="467">
        <f>IFERROR((SUM(B7-G7)/G7),0)</f>
        <v/>
      </c>
      <c r="I7" s="86">
        <f>IFERROR((SUM(B7-D7)/D7),0)</f>
        <v/>
      </c>
      <c r="J7" t="n">
        <v>610</v>
      </c>
      <c r="K7" s="84">
        <f>IFERROR(B7/J7,0)</f>
        <v/>
      </c>
      <c r="L7" s="310" t="n">
        <v>57</v>
      </c>
      <c r="M7" s="310" t="n">
        <v>7036.27</v>
      </c>
      <c r="N7" s="479">
        <f>IFERROR(#REF!/J7,0)</f>
        <v/>
      </c>
      <c r="O7" s="310" t="n">
        <v>110</v>
      </c>
      <c r="P7" s="310" t="n">
        <v>12525.51</v>
      </c>
      <c r="Q7" s="89">
        <f>IFERROR(#REF!/SUM(J7),0)</f>
        <v/>
      </c>
      <c r="R7" s="485">
        <f>SUM(Z7+AC7)</f>
        <v/>
      </c>
      <c r="S7" s="89">
        <f>SUM(R7/B7)</f>
        <v/>
      </c>
      <c r="T7" s="485">
        <f>SUM(AC7)</f>
        <v/>
      </c>
      <c r="U7" s="89">
        <f>SUM(T7/B7)</f>
        <v/>
      </c>
      <c r="V7" s="310" t="n">
        <v>5245.31</v>
      </c>
      <c r="W7" s="488" t="n"/>
      <c r="X7" s="483" t="n"/>
      <c r="Y7" s="310" t="n">
        <v>42890.75</v>
      </c>
      <c r="Z7" s="75">
        <f>Y7/1.15</f>
        <v/>
      </c>
      <c r="AA7" s="487" t="n"/>
      <c r="AB7" s="310" t="n">
        <v>8220.299999999999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149602.25</v>
      </c>
      <c r="H8" s="467">
        <f>IFERROR((SUM(B8-G8)/G8),0)</f>
        <v/>
      </c>
      <c r="I8" s="86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89">
        <f>IFERROR(P8/SUM(J8),0)</f>
        <v/>
      </c>
      <c r="R8" s="485">
        <f>SUM(Z8+AC8)</f>
        <v/>
      </c>
      <c r="S8" s="89">
        <f>SUM(R8/B8)</f>
        <v/>
      </c>
      <c r="T8" s="485">
        <f>SUM(AC8)</f>
        <v/>
      </c>
      <c r="U8" s="8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193770.68</v>
      </c>
      <c r="C9" s="310" t="n">
        <v>184879.71</v>
      </c>
      <c r="D9" s="489" t="n">
        <v>243010.12</v>
      </c>
      <c r="E9" s="494">
        <f>IFERROR((SUM(B9-C9)/C9),0)</f>
        <v/>
      </c>
      <c r="F9" s="310" t="n">
        <v>366917.2</v>
      </c>
      <c r="G9" s="310" t="n">
        <v>206309.34</v>
      </c>
      <c r="H9" s="467">
        <f>IFERROR((SUM(B9-G9)/G9),0)</f>
        <v/>
      </c>
      <c r="I9" s="86">
        <f>IFERROR((SUM(B9-D9)/D9),0)</f>
        <v/>
      </c>
      <c r="J9" t="n">
        <v>611</v>
      </c>
      <c r="K9" s="84">
        <f>IFERROR(B9/J9,0)</f>
        <v/>
      </c>
      <c r="L9" s="310" t="n">
        <v>24</v>
      </c>
      <c r="M9" s="310" t="n">
        <v>1972.2</v>
      </c>
      <c r="N9" s="479">
        <f>IFERROR(M9/J9,0)</f>
        <v/>
      </c>
      <c r="O9" s="310" t="n">
        <v>68</v>
      </c>
      <c r="P9" s="310" t="n">
        <v>5703.62</v>
      </c>
      <c r="Q9" s="89">
        <f>IFERROR(P9/SUM(J9),0)</f>
        <v/>
      </c>
      <c r="R9" s="485">
        <f>SUM(Z9+AC9)</f>
        <v/>
      </c>
      <c r="S9" s="89">
        <f>SUM(R9/B9)</f>
        <v/>
      </c>
      <c r="T9" s="485">
        <f>SUM(AC9)</f>
        <v/>
      </c>
      <c r="U9" s="89">
        <f>SUM(T9/B9)</f>
        <v/>
      </c>
      <c r="V9" s="310" t="n">
        <v>7393</v>
      </c>
      <c r="W9" s="488" t="n"/>
      <c r="X9" s="483" t="n"/>
      <c r="Y9" s="310" t="n">
        <v>25498.99</v>
      </c>
      <c r="Z9" s="75">
        <f>Y9/1.15</f>
        <v/>
      </c>
      <c r="AA9" s="487" t="n"/>
      <c r="AB9" s="310" t="n">
        <v>32071.5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343437.12</v>
      </c>
      <c r="H10" s="467">
        <f>IFERROR((SUM(B10-G10)/G10),0)</f>
        <v/>
      </c>
      <c r="I10" s="86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89">
        <f>IFERROR(P11/SUM(J11),0)</f>
        <v/>
      </c>
      <c r="R10" s="485">
        <f>SUM(Z10+AC10)</f>
        <v/>
      </c>
      <c r="S10" s="89">
        <f>SUM(R10/B11)</f>
        <v/>
      </c>
      <c r="T10" s="485">
        <f>SUM(AC10)</f>
        <v/>
      </c>
      <c r="U10" s="8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138646.25</v>
      </c>
      <c r="C11" s="310" t="n">
        <v>150790.1</v>
      </c>
      <c r="D11" s="489" t="n">
        <v>86713.33</v>
      </c>
      <c r="E11" s="494">
        <f>IFERROR((SUM(B11-C11)/C11),0)</f>
        <v/>
      </c>
      <c r="F11" s="310" t="n">
        <v>273891.14</v>
      </c>
      <c r="G11" s="310" t="n">
        <v>142653.71</v>
      </c>
      <c r="H11" s="467">
        <f>IFERROR((SUM(B11-G11)/G11),0)</f>
        <v/>
      </c>
      <c r="I11" s="86">
        <f>IFERROR((SUM(#REF!-D11)/D11),0)</f>
        <v/>
      </c>
      <c r="J11" t="n">
        <v>437</v>
      </c>
      <c r="K11" s="84">
        <f>IFERROR(B12/J12,0)</f>
        <v/>
      </c>
      <c r="L11" s="310" t="n">
        <v>153</v>
      </c>
      <c r="M11" s="310" t="n">
        <v>15301.08</v>
      </c>
      <c r="N11" s="479">
        <f>IFERROR(#REF!/J12,0)</f>
        <v/>
      </c>
      <c r="O11" s="310" t="n">
        <v>352</v>
      </c>
      <c r="P11" s="310" t="n">
        <v>34523.77</v>
      </c>
      <c r="Q11" s="89">
        <f>IFERROR(#REF!/SUM(J12),0)</f>
        <v/>
      </c>
      <c r="R11" s="485">
        <f>SUM(Z11+AC11)</f>
        <v/>
      </c>
      <c r="S11" s="89">
        <f>SUM(R11/B12)</f>
        <v/>
      </c>
      <c r="T11" s="485">
        <f>SUM(AC11)</f>
        <v/>
      </c>
      <c r="U11" s="89">
        <f>SUM(T11/B12)</f>
        <v/>
      </c>
      <c r="V11" s="310" t="n">
        <v>5126.55</v>
      </c>
      <c r="W11" s="488" t="n"/>
      <c r="X11" s="483" t="n"/>
      <c r="Y11" s="310" t="n">
        <v>43866.62</v>
      </c>
      <c r="Z11" s="75">
        <f>Y11/1.15</f>
        <v/>
      </c>
      <c r="AA11" s="487" t="n"/>
      <c r="AB11" s="310" t="n">
        <v>28981.36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200600.97</v>
      </c>
      <c r="C12" s="310" t="n">
        <v>199450.13</v>
      </c>
      <c r="D12" s="489" t="n">
        <v>206751.49</v>
      </c>
      <c r="E12" s="494">
        <f>IFERROR((SUM(B12-C12)/C12),0)</f>
        <v/>
      </c>
      <c r="F12" s="310" t="n">
        <v>382383.87</v>
      </c>
      <c r="G12" s="310" t="n">
        <v>197141.69</v>
      </c>
      <c r="H12" s="467">
        <f>IFERROR((SUM(B12-G12)/G12),0)</f>
        <v/>
      </c>
      <c r="I12" s="86">
        <f>IFERROR((SUM(B12-D12)/D12),0)</f>
        <v/>
      </c>
      <c r="J12" t="n">
        <v>673</v>
      </c>
      <c r="K12" s="84">
        <f>IFERROR(B12/J12,0)</f>
        <v/>
      </c>
      <c r="L12" s="310" t="n">
        <v>227</v>
      </c>
      <c r="M12" s="310" t="n">
        <v>20369.99</v>
      </c>
      <c r="N12" s="479">
        <f>IFERROR(M12/J12,0)</f>
        <v/>
      </c>
      <c r="O12" s="310" t="n">
        <v>429</v>
      </c>
      <c r="P12" s="310" t="n">
        <v>41968.71</v>
      </c>
      <c r="Q12" s="89">
        <f>IFERROR(P12/SUM(J12),0)</f>
        <v/>
      </c>
      <c r="R12" s="485">
        <f>SUM(Z12+AC12)</f>
        <v/>
      </c>
      <c r="S12" s="89">
        <f>SUM(R12/B12)</f>
        <v/>
      </c>
      <c r="T12" s="485">
        <f>SUM(AC12)</f>
        <v/>
      </c>
      <c r="U12" s="89">
        <f>SUM(T12/B12)</f>
        <v/>
      </c>
      <c r="V12" s="310" t="n">
        <v>5151.8</v>
      </c>
      <c r="W12" s="486" t="n"/>
      <c r="X12" s="483" t="n"/>
      <c r="Y12" s="310" t="n">
        <v>39672.67</v>
      </c>
      <c r="Z12" s="75">
        <f>Y12/1.15</f>
        <v/>
      </c>
      <c r="AA12" s="487" t="n"/>
      <c r="AB12" s="310" t="n">
        <v>40891.57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156547.88</v>
      </c>
      <c r="C13" s="310" t="n">
        <v>177417.58</v>
      </c>
      <c r="D13" s="489" t="n"/>
      <c r="E13" s="494">
        <f>IFERROR((SUM(B13-C13)/C13),0)</f>
        <v/>
      </c>
      <c r="F13" s="310" t="n">
        <v>320124.82</v>
      </c>
      <c r="G13" s="310" t="n">
        <v>154231.74</v>
      </c>
      <c r="H13" s="467">
        <f>IFERROR((SUM(B13-G13)/G13),0)</f>
        <v/>
      </c>
      <c r="I13" s="86">
        <f>IFERROR((SUM(B13-D13)/D13),0)</f>
        <v/>
      </c>
      <c r="J13" t="n">
        <v>514</v>
      </c>
      <c r="K13" s="84">
        <f>IFERROR(B13/J13,0)</f>
        <v/>
      </c>
      <c r="L13" s="310" t="n">
        <v>68</v>
      </c>
      <c r="M13" s="310" t="n">
        <v>5398.02</v>
      </c>
      <c r="N13" s="479">
        <f>IFERROR(M13/J13,0)</f>
        <v/>
      </c>
      <c r="O13" s="310" t="n">
        <v>238</v>
      </c>
      <c r="P13" s="310" t="n">
        <v>13924.62</v>
      </c>
      <c r="Q13" s="89">
        <f>IFERROR(P13/SUM(J13),0)</f>
        <v/>
      </c>
      <c r="R13" s="485">
        <f>SUM(Z13+AC13)</f>
        <v/>
      </c>
      <c r="S13" s="89">
        <f>SUM(R13/B13)</f>
        <v/>
      </c>
      <c r="T13" s="485">
        <f>SUM(AC13)</f>
        <v/>
      </c>
      <c r="U13" s="89">
        <f>SUM(T13/B13)</f>
        <v/>
      </c>
      <c r="V13" s="310" t="n">
        <v>5099.28</v>
      </c>
      <c r="W13" s="486" t="n"/>
      <c r="X13" s="483" t="n"/>
      <c r="Y13" s="310" t="n">
        <v>15916.41</v>
      </c>
      <c r="Z13" s="75">
        <f>Y13/1.15</f>
        <v/>
      </c>
      <c r="AA13" s="487" t="n"/>
      <c r="AB13" s="310" t="n">
        <v>27607.58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143985.86</v>
      </c>
      <c r="C14" s="310" t="n">
        <v>181408.54</v>
      </c>
      <c r="D14" s="489" t="n">
        <v>144600.03</v>
      </c>
      <c r="E14" s="494">
        <f>IFERROR((SUM(B14-C14)/C14),0)</f>
        <v/>
      </c>
      <c r="F14" s="310" t="n">
        <v>304720.44</v>
      </c>
      <c r="G14" s="310" t="n">
        <v>178592.68</v>
      </c>
      <c r="H14" s="467">
        <f>IFERROR((SUM(B14-G14)/G14),0)</f>
        <v/>
      </c>
      <c r="I14" s="86">
        <f>IFERROR((SUM(B14-D14)/D14),0)</f>
        <v/>
      </c>
      <c r="J14" t="n">
        <v>431</v>
      </c>
      <c r="K14" s="84">
        <f>IFERROR(B14/J14,0)</f>
        <v/>
      </c>
      <c r="L14" s="310" t="n">
        <v>97</v>
      </c>
      <c r="M14" s="310" t="n">
        <v>7769.48</v>
      </c>
      <c r="N14" s="479">
        <f>IFERROR(M14/J14,0)</f>
        <v/>
      </c>
      <c r="O14" s="310" t="n">
        <v>194</v>
      </c>
      <c r="P14" s="310" t="n">
        <v>16140.99</v>
      </c>
      <c r="Q14" s="89">
        <f>IFERROR(P14/SUM(J14),0)</f>
        <v/>
      </c>
      <c r="R14" s="485">
        <f>SUM(Z14+AC14)</f>
        <v/>
      </c>
      <c r="S14" s="89">
        <f>SUM(R14/B14)</f>
        <v/>
      </c>
      <c r="T14" s="485">
        <f>SUM(AC14)</f>
        <v/>
      </c>
      <c r="U14" s="89">
        <f>SUM(T14/B14)</f>
        <v/>
      </c>
      <c r="V14" s="310" t="n">
        <v>3890.42</v>
      </c>
      <c r="W14" s="488" t="n"/>
      <c r="X14" s="483" t="n"/>
      <c r="Y14" s="310" t="n">
        <v>42109.75</v>
      </c>
      <c r="Z14" s="75">
        <f>Y14/1.15</f>
        <v/>
      </c>
      <c r="AA14" s="487" t="n"/>
      <c r="AB14" s="310" t="n">
        <v>28285.5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160438.11</v>
      </c>
      <c r="C15" s="310" t="n">
        <v>153048.52</v>
      </c>
      <c r="D15" s="489" t="n">
        <v>152846.04</v>
      </c>
      <c r="E15" s="494">
        <f>IFERROR((SUM(B15-C15)/C15),0)</f>
        <v/>
      </c>
      <c r="F15" s="310" t="n">
        <v>302307.73</v>
      </c>
      <c r="G15" s="310" t="n">
        <v>130051.87</v>
      </c>
      <c r="H15" s="467">
        <f>IFERROR((SUM(B15-G15)/G15),0)</f>
        <v/>
      </c>
      <c r="I15" s="86">
        <f>IFERROR((SUM(B15-D15)/D15),0)</f>
        <v/>
      </c>
      <c r="J15" t="n">
        <v>538</v>
      </c>
      <c r="K15" s="84">
        <f>IFERROR(B15/J15,0)</f>
        <v/>
      </c>
      <c r="L15" s="310" t="n">
        <v>45</v>
      </c>
      <c r="M15" s="310" t="n">
        <v>4097.59</v>
      </c>
      <c r="N15" s="479">
        <f>IFERROR(M15/J15,0)</f>
        <v/>
      </c>
      <c r="O15" s="310" t="n">
        <v>60</v>
      </c>
      <c r="P15" s="310" t="n">
        <v>6026.09</v>
      </c>
      <c r="Q15" s="89">
        <f>IFERROR(P15/SUM(J15),0)</f>
        <v/>
      </c>
      <c r="R15" s="485">
        <f>SUM(Z15+AC15)</f>
        <v/>
      </c>
      <c r="S15" s="89">
        <f>SUM(R15/B15)</f>
        <v/>
      </c>
      <c r="T15" s="485">
        <f>SUM(AC15)</f>
        <v/>
      </c>
      <c r="U15" s="89">
        <f>SUM(T15/B15)</f>
        <v/>
      </c>
      <c r="V15" s="310" t="n">
        <v>3048.3</v>
      </c>
      <c r="W15" s="488" t="n"/>
      <c r="X15" s="483" t="n"/>
      <c r="Y15" s="310" t="n">
        <v>21748.03</v>
      </c>
      <c r="Z15" s="75">
        <f>Y15/1.15</f>
        <v/>
      </c>
      <c r="AA15" s="487" t="n"/>
      <c r="AB15" s="310" t="n">
        <v>26912.25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6.1093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8.66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472">
        <f>IFERROR((SUM(B4-C4)/B4),0)</f>
        <v/>
      </c>
      <c r="F4" s="465">
        <f>SUM(F5:F15)</f>
        <v/>
      </c>
      <c r="G4" s="468">
        <f>SUM(G5:G15)</f>
        <v/>
      </c>
      <c r="H4" s="472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96">
        <f>SUM(T4/B4)</f>
        <v/>
      </c>
      <c r="V4" s="498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264990.67</v>
      </c>
      <c r="C5" s="310" t="n">
        <v>328440.5</v>
      </c>
      <c r="D5" s="489" t="n">
        <v>166877.21</v>
      </c>
      <c r="E5" s="494">
        <f>IFERROR((SUM(B5-C5)/C5),0)</f>
        <v/>
      </c>
      <c r="F5" s="310" t="n">
        <v>835723.96</v>
      </c>
      <c r="G5" s="310" t="n">
        <v>203120.59</v>
      </c>
      <c r="H5" s="495">
        <f>IFERROR((SUM(B5-G5)/G5),0)</f>
        <v/>
      </c>
      <c r="I5" s="494">
        <f>IFERROR((SUM(B5-D5)/D5),0)</f>
        <v/>
      </c>
      <c r="J5" s="310" t="n">
        <v>743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79">
        <f>SUM(R5/B5)</f>
        <v/>
      </c>
      <c r="T5" s="485">
        <f>SUM(AC5)</f>
        <v/>
      </c>
      <c r="U5" s="479">
        <f>SUM(T5/B5)</f>
        <v/>
      </c>
      <c r="V5" s="310" t="n">
        <v>2481.4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22182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192141.41</v>
      </c>
      <c r="C6" s="310" t="n">
        <v>210918.38</v>
      </c>
      <c r="D6" s="489" t="n">
        <v>317233.92</v>
      </c>
      <c r="E6" s="494">
        <f>IFERROR((SUM(B6-C6)/C6),0)</f>
        <v/>
      </c>
      <c r="F6" s="310" t="n">
        <v>598204.35</v>
      </c>
      <c r="G6" s="310" t="n">
        <v>196366.64</v>
      </c>
      <c r="H6" s="495">
        <f>IFERROR((SUM(B6-G6)/G6),0)</f>
        <v/>
      </c>
      <c r="I6" s="494">
        <f>IFERROR((SUM(B6-D6)/D6),0)</f>
        <v/>
      </c>
      <c r="J6" s="310" t="n">
        <v>583</v>
      </c>
      <c r="K6" s="84">
        <f>IFERROR(B6/J6,0)</f>
        <v/>
      </c>
      <c r="L6" s="310" t="n">
        <v>89</v>
      </c>
      <c r="M6" s="310" t="n">
        <v>8973.879999999999</v>
      </c>
      <c r="N6" s="479">
        <f>IFERROR(O7/J6,0)</f>
        <v/>
      </c>
      <c r="O6" s="310" t="n">
        <v>261</v>
      </c>
      <c r="P6" s="310" t="n">
        <v>26129.33</v>
      </c>
      <c r="Q6" s="479">
        <f>IFERROR(P6/SUM(J6),0)</f>
        <v/>
      </c>
      <c r="R6" s="485">
        <f>SUM(Z6+AC6)</f>
        <v/>
      </c>
      <c r="S6" s="479">
        <f>SUM(R6/B6)</f>
        <v/>
      </c>
      <c r="T6" s="485">
        <f>SUM(AC6)</f>
        <v/>
      </c>
      <c r="U6" s="479">
        <f>SUM(T6/B6)</f>
        <v/>
      </c>
      <c r="V6" s="310" t="n">
        <v>5555.65</v>
      </c>
      <c r="W6" s="488" t="n"/>
      <c r="X6" s="483" t="n"/>
      <c r="Y6" s="310" t="n">
        <v>36945.32</v>
      </c>
      <c r="Z6" s="75">
        <f>Y6/1.15</f>
        <v/>
      </c>
      <c r="AA6" s="487" t="n"/>
      <c r="AB6" s="310" t="n">
        <v>26459.65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190409.57</v>
      </c>
      <c r="C7" s="310" t="n">
        <v>238718.61</v>
      </c>
      <c r="D7" s="489" t="n">
        <v>254835.6</v>
      </c>
      <c r="E7" s="494">
        <f>IFERROR((SUM(B7-C7)/C7),0)</f>
        <v/>
      </c>
      <c r="F7" s="310" t="n">
        <v>655481.23</v>
      </c>
      <c r="G7" s="310" t="n">
        <v>194288.81</v>
      </c>
      <c r="H7" s="495">
        <f>IFERROR((SUM(B7-G7)/G7),0)</f>
        <v/>
      </c>
      <c r="I7" s="494">
        <f>IFERROR((SUM(B7-D7)/D7),0)</f>
        <v/>
      </c>
      <c r="J7" s="310" t="n">
        <v>554</v>
      </c>
      <c r="K7" s="84">
        <f>IFERROR(B7/J7,0)</f>
        <v/>
      </c>
      <c r="L7" s="310" t="n">
        <v>36</v>
      </c>
      <c r="M7" s="310" t="n">
        <v>3546</v>
      </c>
      <c r="N7" s="479">
        <f>IFERROR(#REF!/J7,0)</f>
        <v/>
      </c>
      <c r="O7" s="310" t="n">
        <v>146</v>
      </c>
      <c r="P7" s="310" t="n">
        <v>16071.51</v>
      </c>
      <c r="Q7" s="479">
        <f>IFERROR(#REF!/SUM(J7),0)</f>
        <v/>
      </c>
      <c r="R7" s="485">
        <f>SUM(Z7+AC7)</f>
        <v/>
      </c>
      <c r="S7" s="479">
        <f>SUM(R7/B7)</f>
        <v/>
      </c>
      <c r="T7" s="485">
        <f>SUM(AC7)</f>
        <v/>
      </c>
      <c r="U7" s="479">
        <f>SUM(T7/B7)</f>
        <v/>
      </c>
      <c r="V7" s="310" t="n">
        <v>12710.75</v>
      </c>
      <c r="W7" s="488" t="n"/>
      <c r="X7" s="483" t="n"/>
      <c r="Y7" s="310" t="n">
        <v>37590.25</v>
      </c>
      <c r="Z7" s="75">
        <f>Y7/1.15</f>
        <v/>
      </c>
      <c r="AA7" s="487" t="n"/>
      <c r="AB7" s="310" t="n">
        <v>2167.6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494">
        <f>IFERROR((SUM(B8-C8)/C8),0)</f>
        <v/>
      </c>
      <c r="F8" s="310" t="n"/>
      <c r="G8" s="310" t="n">
        <v>148905.81</v>
      </c>
      <c r="H8" s="495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79">
        <f>SUM(R8/B8)</f>
        <v/>
      </c>
      <c r="T8" s="485">
        <f>SUM(AC8)</f>
        <v/>
      </c>
      <c r="U8" s="479">
        <f>SUM(T8/B8)</f>
        <v/>
      </c>
      <c r="V8" s="310" t="n"/>
      <c r="W8" s="486" t="n"/>
      <c r="X8" s="483" t="n"/>
      <c r="Y8" s="310" t="n"/>
      <c r="Z8" s="75">
        <f>Y8/1.15</f>
        <v/>
      </c>
      <c r="AA8" s="487" t="n"/>
      <c r="AB8" s="310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185294.29</v>
      </c>
      <c r="C9" s="310" t="n">
        <v>193770.68</v>
      </c>
      <c r="D9" s="489" t="n">
        <v>243010.12</v>
      </c>
      <c r="E9" s="494">
        <f>IFERROR((SUM(B9-C9)/C9),0)</f>
        <v/>
      </c>
      <c r="F9" s="310" t="n">
        <v>552211.49</v>
      </c>
      <c r="G9" s="310" t="n">
        <v>208809.95</v>
      </c>
      <c r="H9" s="495">
        <f>IFERROR((SUM(B9-G9)/G9),0)</f>
        <v/>
      </c>
      <c r="I9" s="494">
        <f>IFERROR((SUM(B9-D9)/D9),0)</f>
        <v/>
      </c>
      <c r="J9" s="310" t="n">
        <v>579</v>
      </c>
      <c r="K9" s="84">
        <f>IFERROR(B9/J9,0)</f>
        <v/>
      </c>
      <c r="L9" s="310" t="n">
        <v>27</v>
      </c>
      <c r="M9" s="310" t="n">
        <v>2176.16</v>
      </c>
      <c r="N9" s="479">
        <f>IFERROR(M9/J9,0)</f>
        <v/>
      </c>
      <c r="O9" s="310" t="n">
        <v>95</v>
      </c>
      <c r="P9" s="310" t="n">
        <v>7879.78</v>
      </c>
      <c r="Q9" s="479">
        <f>IFERROR(P9/SUM(J9),0)</f>
        <v/>
      </c>
      <c r="R9" s="485">
        <f>SUM(Z9+AC9)</f>
        <v/>
      </c>
      <c r="S9" s="479">
        <f>SUM(R9/B9)</f>
        <v/>
      </c>
      <c r="T9" s="485">
        <f>SUM(AC9)</f>
        <v/>
      </c>
      <c r="U9" s="479">
        <f>SUM(T9/B9)</f>
        <v/>
      </c>
      <c r="V9" s="310" t="n">
        <v>6359</v>
      </c>
      <c r="W9" s="488" t="n"/>
      <c r="X9" s="483" t="n"/>
      <c r="Y9" s="310" t="n">
        <v>29497.73</v>
      </c>
      <c r="Z9" s="75">
        <f>Y9/1.15</f>
        <v/>
      </c>
      <c r="AA9" s="487" t="n"/>
      <c r="AB9" s="310" t="n">
        <v>31274.06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494">
        <f>IFERROR((SUM(B10-C10)/C10),0)</f>
        <v/>
      </c>
      <c r="F10" s="310" t="n"/>
      <c r="G10" s="310" t="n">
        <v>230636.06</v>
      </c>
      <c r="H10" s="495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79">
        <f>SUM(R10/B11)</f>
        <v/>
      </c>
      <c r="T10" s="485">
        <f>SUM(AC10)</f>
        <v/>
      </c>
      <c r="U10" s="479">
        <f>SUM(T10/B11)</f>
        <v/>
      </c>
      <c r="V10" s="310" t="n"/>
      <c r="W10" s="488" t="n"/>
      <c r="X10" s="483" t="n"/>
      <c r="Y10" s="310" t="n"/>
      <c r="Z10" s="75">
        <f>Y10/1.15</f>
        <v/>
      </c>
      <c r="AA10" s="487" t="n"/>
      <c r="AB10" s="310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109200.15</v>
      </c>
      <c r="C11" s="310" t="n">
        <v>138646.25</v>
      </c>
      <c r="D11" s="489" t="n">
        <v>86713.33</v>
      </c>
      <c r="E11" s="494">
        <f>IFERROR((SUM(B11-C11)/C11),0)</f>
        <v/>
      </c>
      <c r="F11" s="310" t="n">
        <v>383091.29</v>
      </c>
      <c r="G11" s="310" t="n">
        <v>114215.58</v>
      </c>
      <c r="H11" s="495">
        <f>IFERROR((SUM(B11-G11)/G11),0)</f>
        <v/>
      </c>
      <c r="I11" s="494">
        <f>IFERROR((SUM(#REF!-D11)/D11),0)</f>
        <v/>
      </c>
      <c r="J11" s="310" t="n">
        <v>407</v>
      </c>
      <c r="K11" s="84">
        <f>IFERROR(B12/J12,0)</f>
        <v/>
      </c>
      <c r="L11" s="310" t="n">
        <v>182</v>
      </c>
      <c r="M11" s="310" t="n">
        <v>18762.86</v>
      </c>
      <c r="N11" s="479">
        <f>IFERROR(#REF!/J12,0)</f>
        <v/>
      </c>
      <c r="O11" s="310" t="n">
        <v>534</v>
      </c>
      <c r="P11" s="310" t="n">
        <v>53286.63</v>
      </c>
      <c r="Q11" s="479">
        <f>IFERROR(#REF!/SUM(J12),0)</f>
        <v/>
      </c>
      <c r="R11" s="485">
        <f>SUM(Z11+AC11)</f>
        <v/>
      </c>
      <c r="S11" s="479">
        <f>SUM(R11/B12)</f>
        <v/>
      </c>
      <c r="T11" s="485">
        <f>SUM(AC11)</f>
        <v/>
      </c>
      <c r="U11" s="479">
        <f>SUM(T11/B12)</f>
        <v/>
      </c>
      <c r="V11" s="310" t="n">
        <v>3183.3</v>
      </c>
      <c r="W11" s="488" t="n"/>
      <c r="X11" s="483" t="n"/>
      <c r="Y11" s="310" t="n">
        <v>42092.62</v>
      </c>
      <c r="Z11" s="75">
        <f>Y11/1.15</f>
        <v/>
      </c>
      <c r="AA11" s="487" t="n"/>
      <c r="AB11" s="310" t="n">
        <v>16520.45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172061.92</v>
      </c>
      <c r="C12" s="310" t="n">
        <v>200600.97</v>
      </c>
      <c r="D12" s="489" t="n">
        <v>206751.49</v>
      </c>
      <c r="E12" s="494">
        <f>IFERROR((SUM(B12-C12)/C12),0)</f>
        <v/>
      </c>
      <c r="F12" s="310" t="n">
        <v>554445.79</v>
      </c>
      <c r="G12" s="310" t="n">
        <v>189760.56</v>
      </c>
      <c r="H12" s="495">
        <f>IFERROR((SUM(B12-G12)/G12),0)</f>
        <v/>
      </c>
      <c r="I12" s="494">
        <f>IFERROR((SUM(B12-D12)/D12),0)</f>
        <v/>
      </c>
      <c r="J12" s="310" t="n">
        <v>584</v>
      </c>
      <c r="K12" s="84">
        <f>IFERROR(B12/J12,0)</f>
        <v/>
      </c>
      <c r="L12" s="310" t="n">
        <v>168</v>
      </c>
      <c r="M12" s="310" t="n">
        <v>18189.1</v>
      </c>
      <c r="N12" s="479">
        <f>IFERROR(M12/J12,0)</f>
        <v/>
      </c>
      <c r="O12" s="310" t="n">
        <v>597</v>
      </c>
      <c r="P12" s="310" t="n">
        <v>60157.81</v>
      </c>
      <c r="Q12" s="479">
        <f>IFERROR(P12/SUM(J12),0)</f>
        <v/>
      </c>
      <c r="R12" s="485">
        <f>SUM(Z12+AC12)</f>
        <v/>
      </c>
      <c r="S12" s="479">
        <f>SUM(R12/B12)</f>
        <v/>
      </c>
      <c r="T12" s="485">
        <f>SUM(AC12)</f>
        <v/>
      </c>
      <c r="U12" s="479">
        <f>SUM(T12/B12)</f>
        <v/>
      </c>
      <c r="V12" s="310" t="n">
        <v>5218</v>
      </c>
      <c r="W12" s="486" t="n"/>
      <c r="X12" s="483" t="n"/>
      <c r="Y12" s="310" t="n">
        <v>34310.39</v>
      </c>
      <c r="Z12" s="75">
        <f>Y12/1.15</f>
        <v/>
      </c>
      <c r="AA12" s="487" t="n"/>
      <c r="AB12" s="310" t="n">
        <v>32000.5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160154</v>
      </c>
      <c r="C13" s="310" t="n">
        <v>156547.88</v>
      </c>
      <c r="D13" s="489" t="n"/>
      <c r="E13" s="494">
        <f>IFERROR((SUM(B13-C13)/C13),0)</f>
        <v/>
      </c>
      <c r="F13" s="310" t="n">
        <v>480278.82</v>
      </c>
      <c r="G13" s="310" t="n">
        <v>153506.39</v>
      </c>
      <c r="H13" s="495">
        <f>IFERROR((SUM(B13-G13)/G13),0)</f>
        <v/>
      </c>
      <c r="I13" s="494">
        <f>IFERROR((SUM(B13-D13)/D13),0)</f>
        <v/>
      </c>
      <c r="J13" s="310" t="n">
        <v>561</v>
      </c>
      <c r="K13" s="84">
        <f>IFERROR(B13/J13,0)</f>
        <v/>
      </c>
      <c r="L13" s="310" t="n">
        <v>76</v>
      </c>
      <c r="M13" s="310" t="n">
        <v>6002.7</v>
      </c>
      <c r="N13" s="479">
        <f>IFERROR(M13/J13,0)</f>
        <v/>
      </c>
      <c r="O13" s="310" t="n">
        <v>239</v>
      </c>
      <c r="P13" s="310" t="n">
        <v>19972.55</v>
      </c>
      <c r="Q13" s="479">
        <f>IFERROR(P13/SUM(J13),0)</f>
        <v/>
      </c>
      <c r="R13" s="485">
        <f>SUM(Z13+AC13)</f>
        <v/>
      </c>
      <c r="S13" s="479">
        <f>SUM(R13/B13)</f>
        <v/>
      </c>
      <c r="T13" s="485">
        <f>SUM(AC13)</f>
        <v/>
      </c>
      <c r="U13" s="479">
        <f>SUM(T13/B13)</f>
        <v/>
      </c>
      <c r="V13" s="310" t="n">
        <v>6731.15</v>
      </c>
      <c r="W13" s="486" t="n"/>
      <c r="X13" s="483" t="n"/>
      <c r="Y13" s="310" t="n">
        <v>16791.26</v>
      </c>
      <c r="Z13" s="75">
        <f>Y13/1.15</f>
        <v/>
      </c>
      <c r="AA13" s="487" t="n"/>
      <c r="AB13" s="310" t="n">
        <v>28259.74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120612.28</v>
      </c>
      <c r="C14" s="310" t="n">
        <v>143985.86</v>
      </c>
      <c r="D14" s="489" t="n">
        <v>144600.03</v>
      </c>
      <c r="E14" s="494">
        <f>IFERROR((SUM(B14-C14)/C14),0)</f>
        <v/>
      </c>
      <c r="F14" s="310" t="n">
        <v>425332.72</v>
      </c>
      <c r="G14" s="310" t="n">
        <v>184661.74</v>
      </c>
      <c r="H14" s="495">
        <f>IFERROR((SUM(B14-G14)/G14),0)</f>
        <v/>
      </c>
      <c r="I14" s="494">
        <f>IFERROR((SUM(B14-D14)/D14),0)</f>
        <v/>
      </c>
      <c r="J14" s="310" t="n">
        <v>378</v>
      </c>
      <c r="K14" s="84">
        <f>IFERROR(B14/J14,0)</f>
        <v/>
      </c>
      <c r="L14" s="310" t="n">
        <v>53</v>
      </c>
      <c r="M14" s="310" t="n">
        <v>4883.47</v>
      </c>
      <c r="N14" s="479">
        <f>IFERROR(M14/J14,0)</f>
        <v/>
      </c>
      <c r="O14" s="310" t="n">
        <v>247</v>
      </c>
      <c r="P14" s="310" t="n">
        <v>21024.46</v>
      </c>
      <c r="Q14" s="479">
        <f>IFERROR(P14/SUM(J14),0)</f>
        <v/>
      </c>
      <c r="R14" s="485">
        <f>SUM(Z14+AC14)</f>
        <v/>
      </c>
      <c r="S14" s="479">
        <f>SUM(R14/B14)</f>
        <v/>
      </c>
      <c r="T14" s="485">
        <f>SUM(AC14)</f>
        <v/>
      </c>
      <c r="U14" s="479">
        <f>SUM(T14/B14)</f>
        <v/>
      </c>
      <c r="V14" s="310" t="n">
        <v>5004.04</v>
      </c>
      <c r="W14" s="488" t="n"/>
      <c r="X14" s="483" t="n"/>
      <c r="Y14" s="310" t="n">
        <v>30603.03</v>
      </c>
      <c r="Z14" s="75">
        <f>Y14/1.15</f>
        <v/>
      </c>
      <c r="AA14" s="487" t="n"/>
      <c r="AB14" s="310" t="n">
        <v>21426.8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134217.79</v>
      </c>
      <c r="C15" s="310" t="n">
        <v>160438.11</v>
      </c>
      <c r="D15" s="489" t="n">
        <v>152846.04</v>
      </c>
      <c r="E15" s="494">
        <f>IFERROR((SUM(B15-C15)/C15),0)</f>
        <v/>
      </c>
      <c r="F15" s="310" t="n">
        <v>436525.52</v>
      </c>
      <c r="G15" s="310" t="n">
        <v>147097.4</v>
      </c>
      <c r="H15" s="495">
        <f>IFERROR((SUM(B15-G15)/G15),0)</f>
        <v/>
      </c>
      <c r="I15" s="494">
        <f>IFERROR((SUM(B15-D15)/D15),0)</f>
        <v/>
      </c>
      <c r="J15" s="310" t="n">
        <v>439</v>
      </c>
      <c r="K15" s="84">
        <f>IFERROR(B15/J15,0)</f>
        <v/>
      </c>
      <c r="L15" s="310" t="n">
        <v>63</v>
      </c>
      <c r="M15" s="310" t="n">
        <v>4008.69</v>
      </c>
      <c r="N15" s="479">
        <f>IFERROR(M15/J15,0)</f>
        <v/>
      </c>
      <c r="O15" s="310" t="n">
        <v>86</v>
      </c>
      <c r="P15" s="310" t="n">
        <v>8712.309999999999</v>
      </c>
      <c r="Q15" s="479">
        <f>IFERROR(P15/SUM(J15),0)</f>
        <v/>
      </c>
      <c r="R15" s="485">
        <f>SUM(Z15+AC15)</f>
        <v/>
      </c>
      <c r="S15" s="479">
        <f>SUM(R15/B15)</f>
        <v/>
      </c>
      <c r="T15" s="485">
        <f>SUM(AC15)</f>
        <v/>
      </c>
      <c r="U15" s="479">
        <f>SUM(T15/B15)</f>
        <v/>
      </c>
      <c r="V15" s="310" t="n">
        <v>5634.3</v>
      </c>
      <c r="W15" s="488" t="n"/>
      <c r="X15" s="483" t="n"/>
      <c r="Y15" s="310" t="n"/>
      <c r="Z15" s="75">
        <f>Y15/1.15</f>
        <v/>
      </c>
      <c r="AA15" s="487" t="n"/>
      <c r="AB15" s="310" t="n"/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E5:E15 I5:I15 K5:U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6" customWidth="1" min="25" max="25"/>
    <col width="16" customWidth="1" style="296" min="26" max="26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310" t="n"/>
      <c r="C8" s="310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9" ht="15.6" customHeight="1">
      <c r="H39" s="391" t="n"/>
    </row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T16"/>
  <sheetViews>
    <sheetView zoomScale="55" zoomScaleNormal="55" workbookViewId="0">
      <selection activeCell="Z19" sqref="Z19"/>
    </sheetView>
  </sheetViews>
  <sheetFormatPr baseColWidth="8" defaultRowHeight="14.4"/>
  <cols>
    <col width="18.6640625" customWidth="1" min="1" max="1"/>
    <col width="36" customWidth="1" min="2" max="2"/>
    <col width="7.33203125" customWidth="1" min="3" max="10"/>
    <col width="6.6640625" customWidth="1" min="11" max="11"/>
    <col width="7.33203125" customWidth="1" min="12" max="12"/>
    <col width="6.6640625" customWidth="1" min="13" max="14"/>
    <col width="9.44140625" customWidth="1" min="15" max="15"/>
    <col width="9" customWidth="1" min="16" max="16"/>
    <col width="6.5546875" customWidth="1" min="17" max="17"/>
    <col width="15.44140625" bestFit="1" customWidth="1" min="20" max="20"/>
    <col width="18.6640625" customWidth="1" min="21" max="21"/>
  </cols>
  <sheetData>
    <row r="1">
      <c r="A1" t="inlineStr">
        <is>
          <t>LLI Menu items</t>
        </is>
      </c>
      <c r="B1" t="inlineStr">
        <is>
          <t>9 - current</t>
        </is>
      </c>
      <c r="C1" s="95" t="inlineStr">
        <is>
          <t>7 to 13</t>
        </is>
      </c>
      <c r="D1" t="inlineStr">
        <is>
          <t>14 to 20</t>
        </is>
      </c>
      <c r="E1" t="inlineStr">
        <is>
          <t>21 to 27</t>
        </is>
      </c>
      <c r="F1" t="inlineStr">
        <is>
          <t>28 Jan to 3 Feb</t>
        </is>
      </c>
      <c r="G1" t="inlineStr">
        <is>
          <t>4 Feb to 10 Feb</t>
        </is>
      </c>
      <c r="H1" t="inlineStr">
        <is>
          <t>11 Feb to 17 Feb</t>
        </is>
      </c>
      <c r="I1" t="inlineStr">
        <is>
          <t>18 Feb to 24 Feb</t>
        </is>
      </c>
      <c r="J1" t="inlineStr">
        <is>
          <t>25 Feb to 3 Mar</t>
        </is>
      </c>
      <c r="K1" t="inlineStr">
        <is>
          <t>4 Mar to 10 Mar</t>
        </is>
      </c>
      <c r="L1" t="inlineStr">
        <is>
          <t>11 Mar to 17 Mar</t>
        </is>
      </c>
      <c r="M1" t="inlineStr">
        <is>
          <t>18 Mar to 24 Mar</t>
        </is>
      </c>
      <c r="N1" t="inlineStr">
        <is>
          <t>25 Mar to 31 Mar</t>
        </is>
      </c>
      <c r="O1" t="inlineStr">
        <is>
          <t>1 Apr- 7 Apr</t>
        </is>
      </c>
      <c r="P1" t="inlineStr">
        <is>
          <t>8 Apr- 14 Apr</t>
        </is>
      </c>
      <c r="Q1" t="inlineStr">
        <is>
          <t>15 Apr- 21 Apr</t>
        </is>
      </c>
      <c r="R1" t="inlineStr">
        <is>
          <t>22 Apr- 28 Apr</t>
        </is>
      </c>
      <c r="S1" t="inlineStr">
        <is>
          <t>29 Apr- 5 May</t>
        </is>
      </c>
      <c r="T1" t="inlineStr">
        <is>
          <t>6 May - 12 May</t>
        </is>
      </c>
    </row>
    <row r="2">
      <c r="A2">
        <f>VLOOKUP(B2,'Naming Convertions'!A:B,2,FALSE)</f>
        <v/>
      </c>
      <c r="B2" t="inlineStr">
        <is>
          <t>Eastern Cape - Hartenbos</t>
        </is>
      </c>
      <c r="C2" t="n">
        <v>37</v>
      </c>
      <c r="D2" t="n">
        <v>67</v>
      </c>
      <c r="E2" t="n">
        <v>80</v>
      </c>
      <c r="F2" t="n">
        <v>85</v>
      </c>
      <c r="G2" t="n">
        <v>86</v>
      </c>
      <c r="H2" t="n">
        <v>101</v>
      </c>
      <c r="I2" t="n">
        <v>101</v>
      </c>
      <c r="J2" t="n">
        <v>100</v>
      </c>
      <c r="K2" t="n">
        <v>68</v>
      </c>
      <c r="L2" t="n">
        <v>103</v>
      </c>
      <c r="M2" s="103" t="n">
        <v>47</v>
      </c>
      <c r="N2" s="107" t="n">
        <v>17</v>
      </c>
      <c r="O2" t="n">
        <v>51</v>
      </c>
      <c r="P2" t="n">
        <v>71</v>
      </c>
      <c r="Q2" t="n">
        <v>29</v>
      </c>
      <c r="R2" t="n">
        <v>45</v>
      </c>
      <c r="S2" t="n">
        <v>49</v>
      </c>
      <c r="T2" t="n">
        <v>31</v>
      </c>
    </row>
    <row r="3">
      <c r="A3">
        <f>VLOOKUP(B3,'Naming Convertions'!A:B,2,FALSE)</f>
        <v/>
      </c>
      <c r="B3" t="inlineStr">
        <is>
          <t>Gauteng - Eagles Landing</t>
        </is>
      </c>
      <c r="C3" t="n">
        <v>175</v>
      </c>
      <c r="D3" t="n">
        <v>153</v>
      </c>
      <c r="E3" t="n">
        <v>112</v>
      </c>
      <c r="F3" t="n">
        <v>101</v>
      </c>
      <c r="G3" t="n">
        <v>150</v>
      </c>
      <c r="H3" t="n">
        <v>136</v>
      </c>
      <c r="I3" t="n">
        <v>165</v>
      </c>
      <c r="J3" t="n">
        <v>133</v>
      </c>
      <c r="K3" t="n">
        <v>129</v>
      </c>
      <c r="L3" t="n">
        <v>148</v>
      </c>
      <c r="M3" s="103" t="n">
        <v>127</v>
      </c>
      <c r="N3" t="n">
        <v>140</v>
      </c>
      <c r="O3" t="n">
        <v>118</v>
      </c>
      <c r="P3" t="n">
        <v>132</v>
      </c>
      <c r="Q3" t="n">
        <v>108</v>
      </c>
      <c r="R3" t="n">
        <v>85</v>
      </c>
      <c r="S3" t="n">
        <v>108</v>
      </c>
      <c r="T3" t="n">
        <v>111</v>
      </c>
    </row>
    <row r="4">
      <c r="A4">
        <f>VLOOKUP(B4,'Naming Convertions'!A:B,2,FALSE)</f>
        <v/>
      </c>
      <c r="B4" t="inlineStr">
        <is>
          <t>Gauteng - Irene Village</t>
        </is>
      </c>
      <c r="C4" t="n">
        <v>106</v>
      </c>
      <c r="D4" t="n">
        <v>101</v>
      </c>
      <c r="E4" t="n">
        <v>68</v>
      </c>
      <c r="F4" t="n">
        <v>71</v>
      </c>
      <c r="G4" t="n">
        <v>49</v>
      </c>
      <c r="H4" t="n">
        <v>50</v>
      </c>
      <c r="I4" t="n">
        <v>59</v>
      </c>
      <c r="J4" t="n">
        <v>75</v>
      </c>
      <c r="K4" t="n">
        <v>51</v>
      </c>
      <c r="L4" t="n">
        <v>61</v>
      </c>
      <c r="M4" s="103" t="n">
        <v>70</v>
      </c>
      <c r="N4" t="n">
        <v>110</v>
      </c>
      <c r="O4" t="n">
        <v>77</v>
      </c>
      <c r="P4" t="n">
        <v>84</v>
      </c>
      <c r="Q4" t="n">
        <v>45</v>
      </c>
      <c r="R4" t="n">
        <v>67</v>
      </c>
      <c r="S4" t="n">
        <v>75</v>
      </c>
      <c r="T4" t="n">
        <v>73</v>
      </c>
    </row>
    <row r="5">
      <c r="A5">
        <f>VLOOKUP(B5,'Naming Convertions'!A:B,2,FALSE)</f>
        <v/>
      </c>
      <c r="B5" t="inlineStr">
        <is>
          <t>Gauteng - Kyalami</t>
        </is>
      </c>
      <c r="C5" t="n">
        <v>68</v>
      </c>
      <c r="D5" t="n">
        <v>40</v>
      </c>
      <c r="E5" t="n">
        <v>35</v>
      </c>
      <c r="F5" t="n">
        <v>49</v>
      </c>
      <c r="G5" t="n">
        <v>37</v>
      </c>
      <c r="H5" t="n">
        <v>44</v>
      </c>
      <c r="I5" t="n">
        <v>38</v>
      </c>
      <c r="J5" t="n">
        <v>49</v>
      </c>
      <c r="K5" t="n">
        <v>27</v>
      </c>
      <c r="L5" t="n">
        <v>28</v>
      </c>
      <c r="M5" s="103" t="n">
        <v>28</v>
      </c>
      <c r="N5" t="n">
        <v>33</v>
      </c>
      <c r="O5" t="n">
        <v>36</v>
      </c>
      <c r="P5" t="n">
        <v>25</v>
      </c>
      <c r="Q5" t="n">
        <v>28</v>
      </c>
      <c r="R5" t="n">
        <v>19</v>
      </c>
      <c r="S5" t="n">
        <v>26</v>
      </c>
      <c r="T5" t="n">
        <v>24</v>
      </c>
    </row>
    <row r="6">
      <c r="A6">
        <f>VLOOKUP(B6,'Naming Convertions'!A:B,2,FALSE)</f>
        <v/>
      </c>
      <c r="B6" t="inlineStr">
        <is>
          <t>Gauteng - Lynnridge Mall</t>
        </is>
      </c>
      <c r="C6" t="n">
        <v>127</v>
      </c>
      <c r="D6" t="n">
        <v>98</v>
      </c>
      <c r="E6" t="n">
        <v>101</v>
      </c>
      <c r="F6" t="n">
        <v>83</v>
      </c>
      <c r="G6" t="n">
        <v>128</v>
      </c>
      <c r="H6" t="n">
        <v>98</v>
      </c>
      <c r="I6" t="n">
        <v>98</v>
      </c>
      <c r="J6" t="n">
        <v>103</v>
      </c>
      <c r="K6" t="n">
        <v>80</v>
      </c>
      <c r="L6" t="n">
        <v>92</v>
      </c>
      <c r="M6" s="103" t="n">
        <v>68</v>
      </c>
      <c r="N6" t="n">
        <v>98</v>
      </c>
      <c r="O6" t="n">
        <v>86</v>
      </c>
      <c r="P6" t="n">
        <v>100</v>
      </c>
      <c r="Q6" t="n">
        <v>51</v>
      </c>
      <c r="R6" t="n">
        <v>64</v>
      </c>
      <c r="S6" t="n">
        <v>69</v>
      </c>
      <c r="T6" t="n">
        <v>43</v>
      </c>
    </row>
    <row r="7">
      <c r="A7">
        <f>VLOOKUP(B7,'Naming Convertions'!A:B,2,FALSE)</f>
        <v/>
      </c>
      <c r="B7" t="inlineStr">
        <is>
          <t>Gauteng - Melrose Arch</t>
        </is>
      </c>
      <c r="C7" t="n">
        <v>104</v>
      </c>
      <c r="D7" t="n">
        <v>111</v>
      </c>
      <c r="E7" t="n">
        <v>72</v>
      </c>
      <c r="F7" t="n">
        <v>95</v>
      </c>
      <c r="G7" t="n">
        <v>89</v>
      </c>
      <c r="H7" t="n">
        <v>100</v>
      </c>
      <c r="I7" t="n">
        <v>85</v>
      </c>
      <c r="J7" t="n">
        <v>121</v>
      </c>
      <c r="K7" t="n">
        <v>100</v>
      </c>
      <c r="L7" t="n">
        <v>107</v>
      </c>
      <c r="M7" s="103" t="n">
        <v>89</v>
      </c>
      <c r="N7" t="n">
        <v>107</v>
      </c>
      <c r="O7" t="n">
        <v>65</v>
      </c>
      <c r="P7" t="n">
        <v>101</v>
      </c>
      <c r="Q7" t="n">
        <v>54</v>
      </c>
      <c r="R7" t="n">
        <v>58</v>
      </c>
      <c r="S7" t="n">
        <v>52</v>
      </c>
      <c r="T7" t="n">
        <v>61</v>
      </c>
    </row>
    <row r="8">
      <c r="A8">
        <f>VLOOKUP(B8,'Naming Convertions'!A:B,2,FALSE)</f>
        <v/>
      </c>
      <c r="B8" t="inlineStr">
        <is>
          <t>Gauteng - Melville @ Bibloteek</t>
        </is>
      </c>
      <c r="C8" t="n">
        <v>23</v>
      </c>
      <c r="D8" t="n">
        <v>33</v>
      </c>
      <c r="E8" t="n">
        <v>43</v>
      </c>
      <c r="F8" t="n">
        <v>50</v>
      </c>
      <c r="G8" t="n">
        <v>29</v>
      </c>
      <c r="H8" t="n">
        <v>23</v>
      </c>
      <c r="I8" t="n">
        <v>29</v>
      </c>
      <c r="J8" t="n">
        <v>38</v>
      </c>
      <c r="K8" t="n">
        <v>25</v>
      </c>
      <c r="L8" t="n">
        <v>25</v>
      </c>
      <c r="M8" s="103" t="n">
        <v>26</v>
      </c>
      <c r="N8" t="n">
        <v>34</v>
      </c>
      <c r="O8" t="n">
        <v>22</v>
      </c>
      <c r="P8" t="n">
        <v>35</v>
      </c>
      <c r="Q8" t="n">
        <v>31</v>
      </c>
      <c r="R8" s="110" t="n">
        <v>9</v>
      </c>
      <c r="S8" t="n">
        <v>15</v>
      </c>
      <c r="T8" t="n">
        <v>16</v>
      </c>
    </row>
    <row r="9">
      <c r="A9">
        <f>VLOOKUP(B9,'Naming Convertions'!A:B,2,FALSE)</f>
        <v/>
      </c>
      <c r="B9" t="inlineStr">
        <is>
          <t>Gauteng - Paulshof</t>
        </is>
      </c>
      <c r="C9" t="n">
        <v>153</v>
      </c>
      <c r="D9" t="n">
        <v>148</v>
      </c>
      <c r="E9" t="n">
        <v>128</v>
      </c>
      <c r="F9" t="n">
        <v>130</v>
      </c>
      <c r="G9" t="n">
        <v>128</v>
      </c>
      <c r="H9" t="n">
        <v>106</v>
      </c>
      <c r="I9" t="n">
        <v>94</v>
      </c>
      <c r="J9" t="n">
        <v>147</v>
      </c>
      <c r="K9" t="n">
        <v>139</v>
      </c>
      <c r="L9" t="n">
        <v>90</v>
      </c>
      <c r="M9" s="103" t="n">
        <v>75</v>
      </c>
      <c r="N9" t="n">
        <v>86</v>
      </c>
      <c r="O9" t="n">
        <v>116</v>
      </c>
      <c r="P9" t="n">
        <v>86</v>
      </c>
      <c r="Q9" t="n">
        <v>90</v>
      </c>
      <c r="R9" s="110" t="n">
        <v>90</v>
      </c>
      <c r="S9" t="n">
        <v>69</v>
      </c>
      <c r="T9" t="n">
        <v>71</v>
      </c>
    </row>
    <row r="10">
      <c r="A10">
        <f>VLOOKUP(B10,'Naming Convertions'!A:B,2,FALSE)</f>
        <v/>
      </c>
      <c r="B10" t="inlineStr">
        <is>
          <t>Gauteng - Rosebank</t>
        </is>
      </c>
      <c r="C10" t="n">
        <v>80</v>
      </c>
      <c r="D10" t="n">
        <v>105</v>
      </c>
      <c r="E10" t="n">
        <v>123</v>
      </c>
      <c r="F10" t="n">
        <v>114</v>
      </c>
      <c r="G10" t="n">
        <v>95</v>
      </c>
      <c r="H10" t="n">
        <v>64</v>
      </c>
      <c r="I10" t="n">
        <v>80</v>
      </c>
      <c r="J10" t="n">
        <v>88</v>
      </c>
      <c r="K10" t="n">
        <v>104</v>
      </c>
      <c r="L10" t="n">
        <v>54</v>
      </c>
      <c r="M10" s="103" t="n">
        <v>67</v>
      </c>
      <c r="N10" t="n">
        <v>55</v>
      </c>
      <c r="O10" t="n">
        <v>42</v>
      </c>
      <c r="P10" t="n">
        <v>52</v>
      </c>
      <c r="Q10" t="n">
        <v>62</v>
      </c>
      <c r="R10" t="n">
        <v>68</v>
      </c>
      <c r="S10" t="n">
        <v>39</v>
      </c>
      <c r="T10" t="n">
        <v>46</v>
      </c>
    </row>
    <row r="11">
      <c r="A11">
        <f>VLOOKUP(B11,'Naming Convertions'!A:B,2,FALSE)</f>
        <v/>
      </c>
      <c r="B11" t="inlineStr">
        <is>
          <t>Gauteng - Waterkloof Corner</t>
        </is>
      </c>
      <c r="C11" t="n">
        <v>73</v>
      </c>
      <c r="D11" t="n">
        <v>65</v>
      </c>
      <c r="E11" t="n">
        <v>45</v>
      </c>
      <c r="F11" t="n">
        <v>60</v>
      </c>
      <c r="G11" t="n">
        <v>51</v>
      </c>
      <c r="H11" t="n">
        <v>54</v>
      </c>
      <c r="I11" t="n">
        <v>44</v>
      </c>
      <c r="J11" t="n">
        <v>58</v>
      </c>
      <c r="K11" t="n">
        <v>48</v>
      </c>
      <c r="L11" t="n">
        <v>51</v>
      </c>
      <c r="M11" s="103" t="n">
        <v>33</v>
      </c>
      <c r="N11" t="n">
        <v>27</v>
      </c>
      <c r="O11" t="n">
        <v>35</v>
      </c>
      <c r="P11" t="n">
        <v>36</v>
      </c>
      <c r="Q11" t="n">
        <v>27</v>
      </c>
      <c r="R11" t="n">
        <v>54</v>
      </c>
      <c r="S11" t="n">
        <v>31</v>
      </c>
      <c r="T11" t="n">
        <v>38</v>
      </c>
    </row>
    <row r="12">
      <c r="A12">
        <f>VLOOKUP(B12,'Naming Convertions'!A:B,2,FALSE)</f>
        <v/>
      </c>
      <c r="B12" t="inlineStr">
        <is>
          <t>Western Cape - Stellenbosch Square</t>
        </is>
      </c>
      <c r="C12" t="n">
        <v>72</v>
      </c>
      <c r="D12" t="n">
        <v>74</v>
      </c>
      <c r="E12" t="n">
        <v>50</v>
      </c>
      <c r="F12" t="n">
        <v>53</v>
      </c>
      <c r="G12" t="n">
        <v>54</v>
      </c>
      <c r="H12" t="n">
        <v>52</v>
      </c>
      <c r="I12" t="n">
        <v>43</v>
      </c>
      <c r="J12" t="n">
        <v>62</v>
      </c>
      <c r="K12" t="n">
        <v>42</v>
      </c>
      <c r="L12" t="n">
        <v>53</v>
      </c>
      <c r="M12" s="103" t="n">
        <v>36</v>
      </c>
      <c r="N12" t="n">
        <v>49</v>
      </c>
      <c r="O12" t="n">
        <v>57</v>
      </c>
      <c r="P12" t="n">
        <v>51</v>
      </c>
      <c r="Q12" t="n">
        <v>23</v>
      </c>
      <c r="R12" t="n">
        <v>28</v>
      </c>
      <c r="S12" t="n">
        <v>20</v>
      </c>
      <c r="T12" t="n">
        <v>58</v>
      </c>
    </row>
    <row r="13">
      <c r="A13" t="inlineStr">
        <is>
          <t>Queenswood</t>
        </is>
      </c>
      <c r="C13" t="n">
        <v>0</v>
      </c>
      <c r="D13" t="n">
        <v>0</v>
      </c>
      <c r="E13" t="n">
        <v>0</v>
      </c>
      <c r="F13" t="n">
        <v>0</v>
      </c>
      <c r="G13" t="n">
        <v>95</v>
      </c>
      <c r="H13" t="n">
        <v>52</v>
      </c>
      <c r="I13" t="n">
        <v>59</v>
      </c>
      <c r="J13" t="n">
        <v>77</v>
      </c>
      <c r="K13" t="n">
        <v>63</v>
      </c>
      <c r="L13" t="n">
        <v>68</v>
      </c>
      <c r="M13" s="103" t="n">
        <v>79</v>
      </c>
      <c r="N13" t="n">
        <v>31</v>
      </c>
      <c r="O13" t="n">
        <v>69</v>
      </c>
      <c r="P13" t="n">
        <v>64</v>
      </c>
      <c r="Q13" t="n">
        <v>40</v>
      </c>
      <c r="R13" t="n">
        <v>28</v>
      </c>
      <c r="S13" t="n">
        <v>63</v>
      </c>
      <c r="T13" t="n">
        <v>45</v>
      </c>
    </row>
    <row r="14">
      <c r="A14" t="inlineStr">
        <is>
          <t>Wellington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</row>
    <row r="15">
      <c r="C15">
        <f>SUM(C2:C14)</f>
        <v/>
      </c>
      <c r="D15">
        <f>SUM(D2:D14)</f>
        <v/>
      </c>
      <c r="E15">
        <f>SUM(E2:E14)</f>
        <v/>
      </c>
      <c r="F15">
        <f>SUM(F2:F14)</f>
        <v/>
      </c>
      <c r="G15">
        <f>SUM(G2:G14)</f>
        <v/>
      </c>
      <c r="H15">
        <f>SUM(H2:H14)</f>
        <v/>
      </c>
      <c r="I15">
        <f>SUM(I2:I14)</f>
        <v/>
      </c>
      <c r="J15">
        <f>SUM(J2:J14)</f>
        <v/>
      </c>
      <c r="K15">
        <f>SUM(K2:K14)</f>
        <v/>
      </c>
      <c r="L15">
        <f>SUM(L2:L14)</f>
        <v/>
      </c>
      <c r="M15">
        <f>SUM(M2:M14)</f>
        <v/>
      </c>
      <c r="N15">
        <f>SUM(N2:N14)</f>
        <v/>
      </c>
      <c r="O15">
        <f>SUM(O2:O14)</f>
        <v/>
      </c>
      <c r="P15">
        <f>SUM(P2:P14)</f>
        <v/>
      </c>
      <c r="Q15">
        <f>SUM(Q2:Q14)</f>
        <v/>
      </c>
      <c r="R15">
        <f>SUM(R2:R14)</f>
        <v/>
      </c>
      <c r="S15">
        <f>SUM(S2:S14)</f>
        <v/>
      </c>
      <c r="T15">
        <f>SUM(T2:T14)</f>
        <v/>
      </c>
    </row>
    <row r="16" ht="15.6" customHeight="1">
      <c r="A16" s="40" t="n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G11" sqref="G11"/>
    </sheetView>
  </sheetViews>
  <sheetFormatPr baseColWidth="8" defaultRowHeight="14.4"/>
  <cols>
    <col width="33.6640625" bestFit="1" customWidth="1" min="1" max="1"/>
    <col width="18.5546875" bestFit="1" customWidth="1" min="2" max="2"/>
  </cols>
  <sheetData>
    <row r="1">
      <c r="A1" t="inlineStr">
        <is>
          <t>Gaap</t>
        </is>
      </c>
      <c r="B1" t="inlineStr">
        <is>
          <t>Report</t>
        </is>
      </c>
    </row>
    <row r="2" ht="15.6" customHeight="1">
      <c r="A2" t="inlineStr">
        <is>
          <t>Gauteng - Irene Village</t>
        </is>
      </c>
      <c r="B2" s="92" t="inlineStr">
        <is>
          <t>Irene Village</t>
        </is>
      </c>
    </row>
    <row r="3" ht="15.6" customHeight="1">
      <c r="A3" t="inlineStr">
        <is>
          <t>Gauteng - Melrose Arch</t>
        </is>
      </c>
      <c r="B3" s="92" t="inlineStr">
        <is>
          <t>Melrose Arch</t>
        </is>
      </c>
    </row>
    <row r="4" ht="15.6" customHeight="1">
      <c r="A4" t="inlineStr">
        <is>
          <t>Gauteng - Melville @ Bibloteek</t>
        </is>
      </c>
      <c r="B4" s="92" t="inlineStr">
        <is>
          <t>Melville</t>
        </is>
      </c>
    </row>
    <row r="5" ht="15.6" customHeight="1">
      <c r="A5" t="inlineStr">
        <is>
          <t>Gauteng - Rosebank</t>
        </is>
      </c>
      <c r="B5" s="92" t="inlineStr">
        <is>
          <t>Rosebank</t>
        </is>
      </c>
    </row>
    <row r="6" ht="15.6" customHeight="1">
      <c r="A6" t="inlineStr">
        <is>
          <t>Gauteng - Waterkloof Corner</t>
        </is>
      </c>
      <c r="B6" s="92" t="inlineStr">
        <is>
          <t xml:space="preserve">Waterkloof </t>
        </is>
      </c>
    </row>
    <row r="7" ht="15.6" customHeight="1">
      <c r="A7" t="inlineStr">
        <is>
          <t>Gauteng - Eagles Landing</t>
        </is>
      </c>
      <c r="B7" s="92" t="inlineStr">
        <is>
          <t>Eagles Landing</t>
        </is>
      </c>
    </row>
    <row r="8" ht="15.6" customHeight="1">
      <c r="A8" t="inlineStr">
        <is>
          <t>Western Cape - Stellenbosch Square</t>
        </is>
      </c>
      <c r="B8" s="93" t="inlineStr">
        <is>
          <t>Stellenbosch</t>
        </is>
      </c>
    </row>
    <row r="9" ht="15.6" customHeight="1">
      <c r="A9" t="inlineStr">
        <is>
          <t>Gauteng - Lynnridge Mall</t>
        </is>
      </c>
      <c r="B9" s="93" t="inlineStr">
        <is>
          <t>Lynnwood</t>
        </is>
      </c>
    </row>
    <row r="10" ht="15.6" customHeight="1">
      <c r="B10" s="93" t="inlineStr">
        <is>
          <t>Wellington</t>
        </is>
      </c>
    </row>
    <row r="11" ht="15.6" customHeight="1">
      <c r="A11" t="inlineStr">
        <is>
          <t>Eastern Cape - Hartenbos</t>
        </is>
      </c>
      <c r="B11" s="93" t="inlineStr">
        <is>
          <t>Hartenbos</t>
        </is>
      </c>
    </row>
    <row r="12" ht="15.6" customHeight="1">
      <c r="A12" t="inlineStr">
        <is>
          <t>Gauteng - Kyalami</t>
        </is>
      </c>
      <c r="B12" s="93" t="inlineStr">
        <is>
          <t>Kyalami Corner</t>
        </is>
      </c>
    </row>
    <row r="13" ht="15.6" customHeight="1">
      <c r="A13" t="inlineStr">
        <is>
          <t>Gauteng - Paulshof</t>
        </is>
      </c>
      <c r="B13" s="93" t="inlineStr">
        <is>
          <t>Paulshof</t>
        </is>
      </c>
    </row>
  </sheetData>
  <pageMargins left="0.7" right="0.7" top="0.75" bottom="0.75" header="0.3" footer="0.3"/>
  <pageSetup orientation="portrait" paperSize="9" verticalDpi="0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C49"/>
  <sheetViews>
    <sheetView tabSelected="1" zoomScale="60" zoomScaleNormal="60" workbookViewId="0">
      <pane xSplit="1" topLeftCell="B1" activePane="topRight" state="frozen"/>
      <selection pane="topRight" activeCell="S10" sqref="S10"/>
    </sheetView>
  </sheetViews>
  <sheetFormatPr baseColWidth="8" defaultRowHeight="14.4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bestFit="1" customWidth="1" style="463" min="10" max="10"/>
    <col width="13.44140625" bestFit="1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hidden="1" width="10.5546875" customWidth="1" min="17" max="17"/>
    <col width="18.5546875" customWidth="1" min="18" max="18"/>
    <col width="11.6640625" bestFit="1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4"/>
    <col width="13" customWidth="1" min="24" max="24"/>
    <col width="16" customWidth="1" min="25" max="25"/>
    <col width="16" customWidth="1" style="296" min="26" max="26"/>
    <col width="13" customWidth="1" min="27" max="27"/>
    <col width="17.33203125" customWidth="1" min="28" max="28"/>
    <col width="17.33203125" customWidth="1" style="296" min="29" max="29"/>
  </cols>
  <sheetData>
    <row r="1" ht="15.6" customHeight="1">
      <c r="A1" s="7" t="n"/>
      <c r="B1" s="7" t="n"/>
      <c r="C1" s="7" t="n"/>
      <c r="D1" s="7" t="n"/>
      <c r="E1" s="14" t="inlineStr">
        <is>
          <t>% Organic</t>
        </is>
      </c>
      <c r="F1" s="7" t="n"/>
      <c r="G1" s="7" t="n"/>
      <c r="H1" s="417" t="n"/>
      <c r="I1" s="370" t="inlineStr">
        <is>
          <t>% Organic</t>
        </is>
      </c>
      <c r="J1" s="458" t="n"/>
      <c r="K1" s="7" t="n"/>
      <c r="L1" s="7" t="n"/>
      <c r="M1" s="7" t="n"/>
      <c r="N1" s="7" t="n"/>
      <c r="O1" s="7" t="n"/>
      <c r="P1" s="7" t="inlineStr">
        <is>
          <t>.</t>
        </is>
      </c>
      <c r="Q1" s="7" t="n"/>
      <c r="R1" s="7" t="inlineStr">
        <is>
          <t>.</t>
        </is>
      </c>
      <c r="S1" s="7" t="n"/>
      <c r="T1" s="7" t="n"/>
      <c r="U1" s="7" t="n"/>
      <c r="V1" s="81" t="n"/>
      <c r="W1" s="9" t="n"/>
    </row>
    <row r="2" ht="16.5" customHeight="1">
      <c r="A2" s="1" t="n"/>
      <c r="B2" s="1" t="n"/>
      <c r="C2" s="1" t="n"/>
      <c r="D2" s="1" t="n"/>
      <c r="E2" s="400">
        <f>((B4-C4)/B4)</f>
        <v/>
      </c>
      <c r="F2" s="426" t="n"/>
      <c r="G2" s="1" t="n"/>
      <c r="H2" s="427" t="n"/>
      <c r="I2" s="422">
        <f>((B4-D4)/D4)</f>
        <v/>
      </c>
      <c r="J2" s="459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81" t="n"/>
      <c r="W2" s="17" t="n"/>
    </row>
    <row r="3" ht="41.4" customHeight="1">
      <c r="A3" s="429" t="n"/>
      <c r="B3" s="430" t="inlineStr">
        <is>
          <t>Current Week (Net)</t>
        </is>
      </c>
      <c r="C3" s="431" t="inlineStr">
        <is>
          <t>Last Week (Net)</t>
        </is>
      </c>
      <c r="D3" s="101" t="inlineStr">
        <is>
          <t>LAST YEAR (Net) 2019</t>
        </is>
      </c>
      <c r="E3" s="432" t="inlineStr">
        <is>
          <t>% to LW</t>
        </is>
      </c>
      <c r="F3" s="433" t="inlineStr">
        <is>
          <t>Month To Date T/Over</t>
        </is>
      </c>
      <c r="G3" s="101" t="inlineStr">
        <is>
          <t>LAST YEAR (Net) 2022</t>
        </is>
      </c>
      <c r="H3" s="433" t="inlineStr">
        <is>
          <t>% to LW 2022</t>
        </is>
      </c>
      <c r="I3" s="433" t="inlineStr">
        <is>
          <t>% to LY 2019</t>
        </is>
      </c>
      <c r="J3" s="464" t="inlineStr">
        <is>
          <t>Invoices</t>
        </is>
      </c>
      <c r="K3" s="433" t="inlineStr">
        <is>
          <t>Avg Spend per Bill</t>
        </is>
      </c>
      <c r="L3" s="478" t="n"/>
      <c r="M3" s="471" t="inlineStr">
        <is>
          <t>Mac &amp; Rib</t>
        </is>
      </c>
      <c r="N3" s="101" t="inlineStr">
        <is>
          <t>% To Covers</t>
        </is>
      </c>
      <c r="O3" s="101" t="n"/>
      <c r="P3" s="471" t="inlineStr">
        <is>
          <t>Mac &amp; Rib Monthly</t>
        </is>
      </c>
      <c r="Q3" s="101" t="inlineStr">
        <is>
          <t>% To Date</t>
        </is>
      </c>
      <c r="R3" s="101" t="inlineStr">
        <is>
          <t>Uber / Mr D Deliveries</t>
        </is>
      </c>
      <c r="S3" s="101" t="inlineStr">
        <is>
          <t>% To Date</t>
        </is>
      </c>
      <c r="T3" s="101" t="inlineStr">
        <is>
          <t>WhatsApp</t>
        </is>
      </c>
      <c r="U3" s="101" t="inlineStr">
        <is>
          <t>WhatsApp % of TO</t>
        </is>
      </c>
      <c r="V3" s="453" t="inlineStr">
        <is>
          <t>Non-Banking</t>
        </is>
      </c>
      <c r="W3" s="407" t="n"/>
      <c r="Y3" s="453" t="inlineStr">
        <is>
          <t>Delivery</t>
        </is>
      </c>
      <c r="Z3" s="312" t="n"/>
      <c r="AB3" s="453" t="inlineStr">
        <is>
          <t>Whatsapp /Takeout</t>
        </is>
      </c>
      <c r="AC3" s="312" t="n"/>
    </row>
    <row r="4" ht="15.6" customHeight="1">
      <c r="A4" s="491" t="inlineStr">
        <is>
          <t>GROUP TOTAL</t>
        </is>
      </c>
      <c r="B4" s="468">
        <f>SUM(B5:B15)</f>
        <v/>
      </c>
      <c r="C4" s="468">
        <f>SUM(C5:C15)</f>
        <v/>
      </c>
      <c r="D4" s="468">
        <f>SUM(D5:D15)</f>
        <v/>
      </c>
      <c r="E4" s="503">
        <f>IFERROR((SUM(B4-C4)/B4),0)</f>
        <v/>
      </c>
      <c r="F4" s="465">
        <f>SUM(F5:F15)</f>
        <v/>
      </c>
      <c r="G4" s="468">
        <f>SUM(G5:G15)</f>
        <v/>
      </c>
      <c r="H4" s="504">
        <f>IFERROR((SUM(B4-G4)/G4),0)</f>
        <v/>
      </c>
      <c r="I4" s="472">
        <f>IFERROR((SUM(B4-D4)/D4),0)</f>
        <v/>
      </c>
      <c r="J4" s="501">
        <f>SUM(J5:J15)</f>
        <v/>
      </c>
      <c r="K4" s="497">
        <f>AVERAGE(K5:K15)</f>
        <v/>
      </c>
      <c r="L4" s="497">
        <f>SUM(L6:L15)</f>
        <v/>
      </c>
      <c r="M4" s="502">
        <f>SUM(M5:M15)</f>
        <v/>
      </c>
      <c r="N4" s="496">
        <f>IFERROR(M4/J4,0)</f>
        <v/>
      </c>
      <c r="O4" s="499">
        <f>SUM(O6:O15)</f>
        <v/>
      </c>
      <c r="P4" s="500">
        <f>SUM(P7:P15)</f>
        <v/>
      </c>
      <c r="Q4" s="496">
        <f>IFERROR(P4/SUM(J4),0)</f>
        <v/>
      </c>
      <c r="R4" s="465">
        <f>SUM(R5:R15)</f>
        <v/>
      </c>
      <c r="S4" s="496">
        <f>SUM(R4/B4)</f>
        <v/>
      </c>
      <c r="T4" s="465">
        <f>SUM(T5:T15)</f>
        <v/>
      </c>
      <c r="U4" s="442">
        <f>SUM(T4/B4)</f>
        <v/>
      </c>
      <c r="V4" s="481">
        <f>SUM(V5:V15)</f>
        <v/>
      </c>
      <c r="W4" s="482" t="n"/>
      <c r="X4" s="483" t="n"/>
      <c r="Y4" s="476" t="n"/>
      <c r="Z4" s="484" t="n"/>
      <c r="AA4" s="483" t="n"/>
      <c r="AB4" s="476" t="n"/>
      <c r="AC4" s="484" t="n"/>
    </row>
    <row r="5" ht="15.6" customHeight="1">
      <c r="A5" s="432" t="inlineStr">
        <is>
          <t>Hartenbos</t>
        </is>
      </c>
      <c r="B5" s="310" t="n">
        <v>273101.15</v>
      </c>
      <c r="C5" s="310" t="n">
        <v>264990.67</v>
      </c>
      <c r="D5" s="489" t="n">
        <v>166877.21</v>
      </c>
      <c r="E5" s="503">
        <f>IFERROR((SUM(B5-C5)/B5),0)</f>
        <v/>
      </c>
      <c r="F5" s="310" t="n">
        <v>1108825.11</v>
      </c>
      <c r="G5" s="310" t="n">
        <v>212042.92</v>
      </c>
      <c r="H5" s="504">
        <f>IFERROR((SUM(B5-G5)/G5),0)</f>
        <v/>
      </c>
      <c r="I5" s="494">
        <f>IFERROR((SUM(B5-D5)/D5),0)</f>
        <v/>
      </c>
      <c r="J5" s="310" t="n">
        <v>751</v>
      </c>
      <c r="K5" s="84">
        <f>IFERROR(B5/J5,0)</f>
        <v/>
      </c>
      <c r="L5" s="479" t="n"/>
      <c r="M5" s="479" t="n"/>
      <c r="N5" s="479">
        <f>IFERROR(M5/J5,0)</f>
        <v/>
      </c>
      <c r="O5" s="479" t="n"/>
      <c r="P5" s="479" t="n"/>
      <c r="Q5" s="479">
        <f>IFERROR(P5/SUM(J5),0)</f>
        <v/>
      </c>
      <c r="R5" s="485">
        <f>SUM(Z5+AC5)</f>
        <v/>
      </c>
      <c r="S5" s="496">
        <f>SUM(R5/B5)</f>
        <v/>
      </c>
      <c r="T5" s="485">
        <f>SUM(AC5)</f>
        <v/>
      </c>
      <c r="U5" s="442">
        <f>SUM(T5/B5)</f>
        <v/>
      </c>
      <c r="V5" s="310" t="n">
        <v>2899.65</v>
      </c>
      <c r="W5" s="486" t="n"/>
      <c r="X5" s="483" t="n"/>
      <c r="Y5" s="310" t="n">
        <v>0</v>
      </c>
      <c r="Z5" s="75">
        <f>Y5/1.15</f>
        <v/>
      </c>
      <c r="AA5" s="487" t="n"/>
      <c r="AB5" s="310" t="n">
        <v>29078.5</v>
      </c>
      <c r="AC5" s="75">
        <f>SUM(AB5)/1.15</f>
        <v/>
      </c>
    </row>
    <row r="6" ht="15.6" customHeight="1">
      <c r="A6" s="492" t="inlineStr">
        <is>
          <t>Eagles Landing</t>
        </is>
      </c>
      <c r="B6" s="310" t="n">
        <v>205533.83</v>
      </c>
      <c r="C6" s="310" t="n">
        <v>192141.41</v>
      </c>
      <c r="D6" s="489" t="n">
        <v>317233.92</v>
      </c>
      <c r="E6" s="503">
        <f>IFERROR((SUM(B6-C6)/B6),0)</f>
        <v/>
      </c>
      <c r="F6" s="310" t="n">
        <v>803738.1800000001</v>
      </c>
      <c r="G6" s="310" t="n">
        <v>201569.89</v>
      </c>
      <c r="H6" s="504">
        <f>IFERROR((SUM(B6-G6)/G6),0)</f>
        <v/>
      </c>
      <c r="I6" s="494">
        <f>IFERROR((SUM(B6-D6)/D6),0)</f>
        <v/>
      </c>
      <c r="J6" s="310" t="n">
        <v>598</v>
      </c>
      <c r="K6" s="84">
        <f>IFERROR(B6/J6,0)</f>
        <v/>
      </c>
      <c r="L6" s="310" t="n">
        <v>59</v>
      </c>
      <c r="M6" s="310" t="n">
        <v>5034.19</v>
      </c>
      <c r="N6" s="479">
        <f>IFERROR(O7/J6,0)</f>
        <v/>
      </c>
      <c r="O6" s="310" t="n">
        <v>320</v>
      </c>
      <c r="P6" s="310" t="n">
        <v>31163.52</v>
      </c>
      <c r="Q6" s="479">
        <f>IFERROR(P6/SUM(J6),0)</f>
        <v/>
      </c>
      <c r="R6" s="485">
        <f>SUM(Z6+AC6)</f>
        <v/>
      </c>
      <c r="S6" s="496">
        <f>SUM(R6/B6)</f>
        <v/>
      </c>
      <c r="T6" s="485">
        <f>SUM(AC6)</f>
        <v/>
      </c>
      <c r="U6" s="442">
        <f>SUM(T6/B6)</f>
        <v/>
      </c>
      <c r="V6" s="310" t="n">
        <v>9343.25</v>
      </c>
      <c r="W6" s="488" t="n"/>
      <c r="X6" s="483" t="n"/>
      <c r="Y6" s="310" t="n">
        <v>33415.96</v>
      </c>
      <c r="Z6" s="75">
        <f>Y6/1.15</f>
        <v/>
      </c>
      <c r="AA6" s="487" t="n"/>
      <c r="AB6" s="310" t="n">
        <v>23747.16</v>
      </c>
      <c r="AC6" s="75">
        <f>SUM(AB6)/1.15</f>
        <v/>
      </c>
    </row>
    <row r="7" ht="16.5" customHeight="1">
      <c r="A7" s="492" t="inlineStr">
        <is>
          <t>Irene Village</t>
        </is>
      </c>
      <c r="B7" s="310" t="n">
        <v>199073.79</v>
      </c>
      <c r="C7" s="310" t="n">
        <v>190409.57</v>
      </c>
      <c r="D7" s="489" t="n">
        <v>254835.6</v>
      </c>
      <c r="E7" s="503">
        <f>IFERROR((SUM(B7-C7)/B7),0)</f>
        <v/>
      </c>
      <c r="F7" s="310" t="n">
        <v>854555.02</v>
      </c>
      <c r="G7" s="310" t="n">
        <v>222418.21</v>
      </c>
      <c r="H7" s="504">
        <f>IFERROR((SUM(B7-G7)/G7),0)</f>
        <v/>
      </c>
      <c r="I7" s="494">
        <f>IFERROR((SUM(B7-D7)/D7),0)</f>
        <v/>
      </c>
      <c r="J7" s="310" t="n">
        <v>560</v>
      </c>
      <c r="K7" s="84">
        <f>IFERROR(B7/J7,0)</f>
        <v/>
      </c>
      <c r="L7" s="310" t="n">
        <v>35</v>
      </c>
      <c r="M7" s="310" t="n">
        <v>3105.47</v>
      </c>
      <c r="N7" s="479">
        <f>IFERROR(#REF!/J7,0)</f>
        <v/>
      </c>
      <c r="O7" s="310" t="n">
        <v>181</v>
      </c>
      <c r="P7" s="310" t="n">
        <v>19176.98</v>
      </c>
      <c r="Q7" s="479">
        <f>IFERROR(#REF!/SUM(J7),0)</f>
        <v/>
      </c>
      <c r="R7" s="485">
        <f>SUM(Z7+AC7)</f>
        <v/>
      </c>
      <c r="S7" s="496">
        <f>SUM(R7/B7)</f>
        <v/>
      </c>
      <c r="T7" s="485">
        <f>SUM(AC7)</f>
        <v/>
      </c>
      <c r="U7" s="442">
        <f>SUM(T7/B7)</f>
        <v/>
      </c>
      <c r="V7" s="310" t="n">
        <v>4315.35</v>
      </c>
      <c r="W7" s="488" t="n"/>
      <c r="X7" s="483" t="n"/>
      <c r="Y7" s="310" t="n">
        <v>39516.71</v>
      </c>
      <c r="Z7" s="75">
        <f>Y7/1.15</f>
        <v/>
      </c>
      <c r="AA7" s="487" t="n"/>
      <c r="AB7" s="310" t="n">
        <v>2045.1</v>
      </c>
      <c r="AC7" s="75">
        <f>SUM(AB7)/1.15</f>
        <v/>
      </c>
    </row>
    <row r="8" ht="15.6" customHeight="1">
      <c r="A8" s="492" t="inlineStr">
        <is>
          <t>Kyalami Corner</t>
        </is>
      </c>
      <c r="B8" s="507" t="n"/>
      <c r="C8" s="507" t="n"/>
      <c r="D8" s="489" t="n">
        <v>125945.97</v>
      </c>
      <c r="E8" s="503">
        <f>IFERROR((SUM(B8-C8)/B8),0)</f>
        <v/>
      </c>
      <c r="F8" s="310" t="n"/>
      <c r="G8" s="310" t="n">
        <v>148590.98</v>
      </c>
      <c r="H8" s="504">
        <f>IFERROR((SUM(B8-G8)/G8),0)</f>
        <v/>
      </c>
      <c r="I8" s="494">
        <f>IFERROR((SUM(B8-D8)/D8),0)</f>
        <v/>
      </c>
      <c r="J8" s="310" t="n"/>
      <c r="K8" s="84">
        <f>IFERROR(B8/J8,0)</f>
        <v/>
      </c>
      <c r="L8" s="479" t="n"/>
      <c r="M8" s="479" t="n"/>
      <c r="N8" s="479">
        <f>IFERROR(M8/J8,0)</f>
        <v/>
      </c>
      <c r="O8" s="479" t="n"/>
      <c r="P8" s="479" t="n"/>
      <c r="Q8" s="479">
        <f>IFERROR(P8/SUM(J8),0)</f>
        <v/>
      </c>
      <c r="R8" s="485">
        <f>SUM(Z8+AC8)</f>
        <v/>
      </c>
      <c r="S8" s="496">
        <f>SUM(R8/B8)</f>
        <v/>
      </c>
      <c r="T8" s="485">
        <f>SUM(AC8)</f>
        <v/>
      </c>
      <c r="U8" s="442">
        <f>SUM(T8/B8)</f>
        <v/>
      </c>
      <c r="V8" s="310" t="n"/>
      <c r="W8" s="486" t="n"/>
      <c r="X8" s="483" t="n"/>
      <c r="Y8" s="313" t="n"/>
      <c r="Z8" s="75">
        <f>Y8/1.15</f>
        <v/>
      </c>
      <c r="AA8" s="487" t="n"/>
      <c r="AB8" s="313" t="n"/>
      <c r="AC8" s="75">
        <f>SUM(AB8)/1.15</f>
        <v/>
      </c>
    </row>
    <row r="9" ht="15.6" customHeight="1">
      <c r="A9" s="492" t="inlineStr">
        <is>
          <t>Lynnwood</t>
        </is>
      </c>
      <c r="B9" s="310" t="n">
        <v>192463.68</v>
      </c>
      <c r="C9" s="310" t="n">
        <v>185294.29</v>
      </c>
      <c r="D9" s="489" t="n">
        <v>243010.12</v>
      </c>
      <c r="E9" s="503">
        <f>IFERROR((SUM(B9-C9)/B9),0)</f>
        <v/>
      </c>
      <c r="F9" s="310" t="n">
        <v>744675.17</v>
      </c>
      <c r="G9" s="310" t="n">
        <v>212422.03</v>
      </c>
      <c r="H9" s="504">
        <f>IFERROR((SUM(B9-G9)/G9),0)</f>
        <v/>
      </c>
      <c r="I9" s="494">
        <f>IFERROR((SUM(B9-D9)/D9),0)</f>
        <v/>
      </c>
      <c r="J9" s="310" t="n">
        <v>618</v>
      </c>
      <c r="K9" s="84">
        <f>IFERROR(B9/J9,0)</f>
        <v/>
      </c>
      <c r="L9" s="310" t="n">
        <v>35</v>
      </c>
      <c r="M9" s="310" t="n">
        <v>2607.5</v>
      </c>
      <c r="N9" s="479">
        <f>IFERROR(M9/J9,0)</f>
        <v/>
      </c>
      <c r="O9" s="310" t="n">
        <v>130</v>
      </c>
      <c r="P9" s="310" t="n">
        <v>10487.28</v>
      </c>
      <c r="Q9" s="479">
        <f>IFERROR(P9/SUM(J9),0)</f>
        <v/>
      </c>
      <c r="R9" s="485">
        <f>SUM(Z9+AC9)</f>
        <v/>
      </c>
      <c r="S9" s="496">
        <f>SUM(R9/B9)</f>
        <v/>
      </c>
      <c r="T9" s="485">
        <f>SUM(AC9)</f>
        <v/>
      </c>
      <c r="U9" s="442">
        <f>SUM(T9/B9)</f>
        <v/>
      </c>
      <c r="V9" s="310" t="n">
        <v>4170.55</v>
      </c>
      <c r="W9" s="488" t="n"/>
      <c r="X9" s="483" t="n"/>
      <c r="Y9" s="310" t="n">
        <v>27484.58</v>
      </c>
      <c r="Z9" s="75">
        <f>Y9/1.15</f>
        <v/>
      </c>
      <c r="AA9" s="487" t="n"/>
      <c r="AB9" s="310" t="n">
        <v>27053.25</v>
      </c>
      <c r="AC9" s="75">
        <f>SUM(AB9)/1.15</f>
        <v/>
      </c>
    </row>
    <row r="10" ht="15.6" customHeight="1">
      <c r="A10" s="432" t="inlineStr">
        <is>
          <t>Melrose Arch</t>
        </is>
      </c>
      <c r="B10" s="310" t="n"/>
      <c r="C10" s="310" t="n"/>
      <c r="D10" s="489" t="n">
        <v>191397.82</v>
      </c>
      <c r="E10" s="503">
        <f>IFERROR((SUM(B10-C10)/B10),0)</f>
        <v/>
      </c>
      <c r="F10" s="310" t="n"/>
      <c r="G10" s="310" t="n">
        <v>272667.7</v>
      </c>
      <c r="H10" s="504">
        <f>IFERROR((SUM(B10-G10)/G10),0)</f>
        <v/>
      </c>
      <c r="I10" s="494">
        <f>IFERROR((SUM(B11-D10)/D10),0)</f>
        <v/>
      </c>
      <c r="J10" s="310" t="n"/>
      <c r="K10" s="84">
        <f>IFERROR(B11/J11,0)</f>
        <v/>
      </c>
      <c r="L10" s="479" t="n"/>
      <c r="M10" s="479" t="n"/>
      <c r="N10" s="479">
        <f>IFERROR(M11/J11,0)</f>
        <v/>
      </c>
      <c r="O10" s="479" t="n"/>
      <c r="P10" s="479" t="n"/>
      <c r="Q10" s="479">
        <f>IFERROR(P11/SUM(J11),0)</f>
        <v/>
      </c>
      <c r="R10" s="485">
        <f>SUM(Z10+AC10)</f>
        <v/>
      </c>
      <c r="S10" s="496">
        <f>SUM(R10/B10)</f>
        <v/>
      </c>
      <c r="T10" s="485">
        <f>SUM(AC10)</f>
        <v/>
      </c>
      <c r="U10" s="442">
        <f>SUM(T10/B10)</f>
        <v/>
      </c>
      <c r="V10" s="310" t="n"/>
      <c r="W10" s="488" t="n"/>
      <c r="X10" s="483" t="n"/>
      <c r="Y10" s="313" t="n"/>
      <c r="Z10" s="75">
        <f>Y10/1.15</f>
        <v/>
      </c>
      <c r="AA10" s="487" t="n"/>
      <c r="AB10" s="313" t="n"/>
      <c r="AC10" s="75">
        <f>SUM(AB10)/1.15</f>
        <v/>
      </c>
    </row>
    <row r="11" ht="15.6" customHeight="1">
      <c r="A11" s="492" t="inlineStr">
        <is>
          <t>Melville</t>
        </is>
      </c>
      <c r="B11" s="310" t="n">
        <v>126454.51</v>
      </c>
      <c r="C11" s="310" t="n">
        <v>109200.15</v>
      </c>
      <c r="D11" s="489" t="n">
        <v>86713.33</v>
      </c>
      <c r="E11" s="503">
        <f>IFERROR((SUM(B11-C11)/B11),0)</f>
        <v/>
      </c>
      <c r="F11" s="310" t="n">
        <v>509545.8</v>
      </c>
      <c r="G11" s="310" t="n">
        <v>152939.37</v>
      </c>
      <c r="H11" s="504">
        <f>IFERROR((SUM(B11-G11)/G11),0)</f>
        <v/>
      </c>
      <c r="I11" s="494">
        <f>IFERROR((SUM(#REF!-D11)/D11),0)</f>
        <v/>
      </c>
      <c r="J11" s="310" t="n">
        <v>438</v>
      </c>
      <c r="K11" s="84">
        <f>IFERROR(B12/J12,0)</f>
        <v/>
      </c>
      <c r="L11" s="310" t="n">
        <v>165</v>
      </c>
      <c r="M11" s="310" t="n">
        <v>15949.12</v>
      </c>
      <c r="N11" s="479">
        <f>IFERROR(#REF!/J12,0)</f>
        <v/>
      </c>
      <c r="O11" s="310" t="n">
        <v>699</v>
      </c>
      <c r="P11" s="310" t="n">
        <v>69235.75</v>
      </c>
      <c r="Q11" s="479">
        <f>IFERROR(#REF!/SUM(J12),0)</f>
        <v/>
      </c>
      <c r="R11" s="485">
        <f>SUM(Z11+AC11)</f>
        <v/>
      </c>
      <c r="S11" s="496">
        <f>SUM(R11/B11)</f>
        <v/>
      </c>
      <c r="T11" s="485">
        <f>SUM(AC11)</f>
        <v/>
      </c>
      <c r="U11" s="442">
        <f>SUM(T11/B11)</f>
        <v/>
      </c>
      <c r="V11" s="310" t="n">
        <v>4733</v>
      </c>
      <c r="W11" s="488" t="n"/>
      <c r="X11" s="483" t="n"/>
      <c r="Y11" s="310" t="n">
        <v>56281.07</v>
      </c>
      <c r="Z11" s="75">
        <f>Y11/1.15</f>
        <v/>
      </c>
      <c r="AA11" s="487" t="n"/>
      <c r="AB11" s="310" t="n">
        <v>16382.59</v>
      </c>
      <c r="AC11" s="75">
        <f>SUM(AB11)/1.15</f>
        <v/>
      </c>
    </row>
    <row r="12" ht="15.6" customHeight="1">
      <c r="A12" s="492" t="inlineStr">
        <is>
          <t>Cambridge Crossing</t>
        </is>
      </c>
      <c r="B12" s="310" t="n">
        <v>226860.14</v>
      </c>
      <c r="C12" s="310" t="n">
        <v>172061.92</v>
      </c>
      <c r="D12" s="489" t="n">
        <v>206751.49</v>
      </c>
      <c r="E12" s="503">
        <f>IFERROR((SUM(B12-C12)/B12),0)</f>
        <v/>
      </c>
      <c r="F12" s="310" t="n">
        <v>781305.9300000001</v>
      </c>
      <c r="G12" s="310" t="n">
        <v>190621.49</v>
      </c>
      <c r="H12" s="504">
        <f>IFERROR((SUM(B12-G12)/G12),0)</f>
        <v/>
      </c>
      <c r="I12" s="494">
        <f>IFERROR((SUM(B12-D12)/D12),0)</f>
        <v/>
      </c>
      <c r="J12" s="310" t="n">
        <v>23</v>
      </c>
      <c r="K12" s="84">
        <f>IFERROR(B12/J12,0)</f>
        <v/>
      </c>
      <c r="L12" s="310" t="n">
        <v>185</v>
      </c>
      <c r="M12" s="310" t="n">
        <v>19147.01</v>
      </c>
      <c r="N12" s="479">
        <f>IFERROR(M12/J12,0)</f>
        <v/>
      </c>
      <c r="O12" s="310" t="n">
        <v>782</v>
      </c>
      <c r="P12" s="310" t="n">
        <v>79304.82000000001</v>
      </c>
      <c r="Q12" s="479">
        <f>IFERROR(P12/SUM(J12),0)</f>
        <v/>
      </c>
      <c r="R12" s="485">
        <f>SUM(Z12+AC12)</f>
        <v/>
      </c>
      <c r="S12" s="496">
        <f>SUM(R12/B12)</f>
        <v/>
      </c>
      <c r="T12" s="485">
        <f>SUM(AC12)</f>
        <v/>
      </c>
      <c r="U12" s="442">
        <f>SUM(T12/B12)</f>
        <v/>
      </c>
      <c r="V12" s="310" t="n">
        <v>7415.49</v>
      </c>
      <c r="W12" s="486" t="n"/>
      <c r="X12" s="483" t="n"/>
      <c r="Y12" s="310" t="n">
        <v>47783.18</v>
      </c>
      <c r="Z12" s="75">
        <f>Y12/1.15</f>
        <v/>
      </c>
      <c r="AA12" s="487" t="n"/>
      <c r="AB12" s="310" t="n">
        <v>36166.22</v>
      </c>
      <c r="AC12" s="75">
        <f>SUM(AB12)/1.15</f>
        <v/>
      </c>
    </row>
    <row r="13" ht="15.6" customHeight="1">
      <c r="A13" s="492" t="inlineStr">
        <is>
          <t>Queenswood</t>
        </is>
      </c>
      <c r="B13" s="310" t="n">
        <v>128519.42</v>
      </c>
      <c r="C13" s="310" t="n">
        <v>160154</v>
      </c>
      <c r="D13" s="489" t="n"/>
      <c r="E13" s="503">
        <f>IFERROR((SUM(B13-C13)/B13),0)</f>
        <v/>
      </c>
      <c r="F13" s="310" t="n">
        <v>608798.24</v>
      </c>
      <c r="G13" s="310" t="n">
        <v>166033.59</v>
      </c>
      <c r="H13" s="504">
        <f>IFERROR((SUM(B13-G13)/G13),0)</f>
        <v/>
      </c>
      <c r="I13" s="494">
        <f>IFERROR((SUM(B13-D13)/D13),0)</f>
        <v/>
      </c>
      <c r="J13" s="310" t="n">
        <v>456</v>
      </c>
      <c r="K13" s="84">
        <f>IFERROR(B13/J13,0)</f>
        <v/>
      </c>
      <c r="L13" s="310" t="n">
        <v>49</v>
      </c>
      <c r="M13" s="310" t="n">
        <v>4407.34</v>
      </c>
      <c r="N13" s="479">
        <f>IFERROR(M13/J13,0)</f>
        <v/>
      </c>
      <c r="O13" s="310" t="n">
        <v>288</v>
      </c>
      <c r="P13" s="310" t="n">
        <v>24379.89</v>
      </c>
      <c r="Q13" s="479">
        <f>IFERROR(P13/SUM(J13),0)</f>
        <v/>
      </c>
      <c r="R13" s="485">
        <f>SUM(Z13+AC13)</f>
        <v/>
      </c>
      <c r="S13" s="496">
        <f>SUM(R13/B13)</f>
        <v/>
      </c>
      <c r="T13" s="485">
        <f>SUM(AC13)</f>
        <v/>
      </c>
      <c r="U13" s="442">
        <f>SUM(T13/B13)</f>
        <v/>
      </c>
      <c r="V13" s="310" t="n">
        <v>4293.35</v>
      </c>
      <c r="W13" s="486" t="n"/>
      <c r="X13" s="483" t="n"/>
      <c r="Y13" s="310" t="n">
        <v>17539.66</v>
      </c>
      <c r="Z13" s="75">
        <f>Y13/1.15</f>
        <v/>
      </c>
      <c r="AA13" s="487" t="n"/>
      <c r="AB13" s="310" t="n">
        <v>26473.9</v>
      </c>
      <c r="AC13" s="75">
        <f>SUM(AB13)/1.15</f>
        <v/>
      </c>
    </row>
    <row r="14" ht="15.6" customHeight="1">
      <c r="A14" s="492" t="inlineStr">
        <is>
          <t xml:space="preserve">Waterkloof </t>
        </is>
      </c>
      <c r="B14" s="310" t="n">
        <v>143873.67</v>
      </c>
      <c r="C14" s="310" t="n">
        <v>120612.28</v>
      </c>
      <c r="D14" s="489" t="n">
        <v>144600.03</v>
      </c>
      <c r="E14" s="503">
        <f>IFERROR((SUM(B14-C14)/B14),0)</f>
        <v/>
      </c>
      <c r="F14" s="310" t="n">
        <v>569206.39</v>
      </c>
      <c r="G14" s="310" t="n">
        <v>157298.63</v>
      </c>
      <c r="H14" s="504">
        <f>IFERROR((SUM(B14-G14)/G14),0)</f>
        <v/>
      </c>
      <c r="I14" s="494">
        <f>IFERROR((SUM(B14-D14)/D14),0)</f>
        <v/>
      </c>
      <c r="J14" s="310" t="n">
        <v>417</v>
      </c>
      <c r="K14" s="84">
        <f>IFERROR(B14/J14,0)</f>
        <v/>
      </c>
      <c r="L14" s="310" t="n">
        <v>69</v>
      </c>
      <c r="M14" s="310" t="n">
        <v>5103.83</v>
      </c>
      <c r="N14" s="479">
        <f>IFERROR(M14/J14,0)</f>
        <v/>
      </c>
      <c r="O14" s="310" t="n">
        <v>316</v>
      </c>
      <c r="P14" s="310" t="n">
        <v>26128.29</v>
      </c>
      <c r="Q14" s="479">
        <f>IFERROR(P14/SUM(J14),0)</f>
        <v/>
      </c>
      <c r="R14" s="485">
        <f>SUM(Z14+AC14)</f>
        <v/>
      </c>
      <c r="S14" s="496">
        <f>SUM(R14/B14)</f>
        <v/>
      </c>
      <c r="T14" s="485">
        <f>SUM(AC14)</f>
        <v/>
      </c>
      <c r="U14" s="442">
        <f>SUM(T14/B14)</f>
        <v/>
      </c>
      <c r="V14" s="310" t="n">
        <v>5323.13</v>
      </c>
      <c r="W14" s="488" t="n"/>
      <c r="X14" s="483" t="n"/>
      <c r="Y14" s="310" t="n">
        <v>45387.16</v>
      </c>
      <c r="Z14" s="75">
        <f>Y14/1.15</f>
        <v/>
      </c>
      <c r="AA14" s="487" t="n"/>
      <c r="AB14" s="310" t="n">
        <v>18929.88</v>
      </c>
      <c r="AC14" s="75">
        <f>SUM(AB14)/1.15</f>
        <v/>
      </c>
    </row>
    <row r="15" ht="15.6" customHeight="1">
      <c r="A15" s="432" t="inlineStr">
        <is>
          <t>Stellenbosch</t>
        </is>
      </c>
      <c r="B15" s="310" t="n">
        <v>138171.05</v>
      </c>
      <c r="C15" s="310" t="n">
        <v>134217.79</v>
      </c>
      <c r="D15" s="489" t="n">
        <v>152846.04</v>
      </c>
      <c r="E15" s="505">
        <f>IFERROR((SUM(B15-C15)/B15),0)</f>
        <v/>
      </c>
      <c r="F15" s="310" t="n">
        <v>574696.5699999999</v>
      </c>
      <c r="G15" s="310" t="n">
        <v>135960.13</v>
      </c>
      <c r="H15" s="504">
        <f>IFERROR((SUM(B15-G15)/G15),0)</f>
        <v/>
      </c>
      <c r="I15" s="494">
        <f>IFERROR((SUM(B15-D15)/D15),0)</f>
        <v/>
      </c>
      <c r="J15" s="310" t="n">
        <v>409</v>
      </c>
      <c r="K15" s="84">
        <f>IFERROR(B15/J15,0)</f>
        <v/>
      </c>
      <c r="L15" s="310" t="n">
        <v>30</v>
      </c>
      <c r="M15" s="310" t="n">
        <v>3675.24</v>
      </c>
      <c r="N15" s="479">
        <f>IFERROR(M15/J15,0)</f>
        <v/>
      </c>
      <c r="O15" s="310" t="n">
        <v>116</v>
      </c>
      <c r="P15" s="310" t="n">
        <v>12387.55</v>
      </c>
      <c r="Q15" s="479">
        <f>IFERROR(P15/SUM(J15),0)</f>
        <v/>
      </c>
      <c r="R15" s="485">
        <f>SUM(Z15+AC15)</f>
        <v/>
      </c>
      <c r="S15" s="506">
        <f>SUM(R15/B15)</f>
        <v/>
      </c>
      <c r="T15" s="485">
        <f>SUM(AC15)</f>
        <v/>
      </c>
      <c r="U15" s="442">
        <f>SUM(T15/B15)</f>
        <v/>
      </c>
      <c r="V15" s="310" t="n">
        <v>3966</v>
      </c>
      <c r="W15" s="488" t="n"/>
      <c r="X15" s="483" t="n"/>
      <c r="Y15" s="310" t="n">
        <v>23841.39</v>
      </c>
      <c r="Z15" s="75">
        <f>Y15/1.15</f>
        <v/>
      </c>
      <c r="AA15" s="487" t="n"/>
      <c r="AB15" s="310" t="n">
        <v>29055.35</v>
      </c>
      <c r="AC15" s="75">
        <f>SUM(AB15)/1.15</f>
        <v/>
      </c>
    </row>
    <row r="16">
      <c r="A16" s="81" t="n"/>
      <c r="B16" s="83" t="n"/>
      <c r="C16" s="81" t="n"/>
      <c r="D16" s="81" t="n"/>
      <c r="E16" s="81" t="n"/>
      <c r="F16" s="83" t="n"/>
      <c r="G16" s="83" t="n"/>
      <c r="H16" s="81" t="n"/>
      <c r="I16" s="81" t="n"/>
      <c r="J16" s="462" t="n"/>
      <c r="K16" s="81" t="n"/>
      <c r="L16" s="81" t="n"/>
      <c r="N16" s="81" t="n"/>
      <c r="O16" s="81" t="n"/>
      <c r="P16" s="81" t="n"/>
      <c r="Q16" s="81" t="n"/>
      <c r="R16" s="81" t="n"/>
      <c r="S16" s="81" t="n"/>
      <c r="T16" s="81" t="n"/>
      <c r="U16" s="81" t="n"/>
      <c r="V16" s="81" t="n"/>
      <c r="W16" s="9" t="n"/>
    </row>
    <row r="17">
      <c r="A17" s="81" t="n"/>
      <c r="B17" s="83" t="n"/>
      <c r="C17" s="81" t="n"/>
      <c r="D17" s="81" t="n"/>
      <c r="E17" s="81" t="n"/>
      <c r="F17" s="83" t="n"/>
      <c r="G17" s="83" t="n"/>
      <c r="H17" s="81" t="n"/>
      <c r="I17" s="81" t="n"/>
      <c r="J17" s="462" t="n"/>
      <c r="K17" s="81" t="n"/>
      <c r="L17" s="81" t="n"/>
      <c r="M17" s="81" t="n"/>
      <c r="N17" s="81" t="n"/>
      <c r="O17" s="81" t="n"/>
      <c r="P17" s="81" t="n"/>
      <c r="Q17" s="81" t="n"/>
      <c r="R17" s="81" t="n"/>
      <c r="S17" s="81" t="n"/>
      <c r="T17" s="81" t="n"/>
      <c r="U17" s="81" t="n"/>
      <c r="V17" s="81" t="n"/>
      <c r="W17" s="9" t="n"/>
    </row>
    <row r="18">
      <c r="A18" s="81" t="n"/>
      <c r="B18" s="83" t="n"/>
      <c r="C18" s="81" t="n"/>
      <c r="D18" s="81" t="n"/>
      <c r="E18" s="81" t="n"/>
      <c r="F18" s="83" t="n"/>
      <c r="G18" s="83" t="n"/>
      <c r="H18" s="81" t="n"/>
      <c r="I18" s="81" t="n"/>
      <c r="J18" s="462" t="n"/>
      <c r="K18" s="81" t="n"/>
      <c r="L18" s="81" t="n"/>
      <c r="M18" s="81" t="n"/>
      <c r="N18" s="81" t="n"/>
      <c r="O18" s="81" t="n"/>
      <c r="P18" s="81" t="n"/>
      <c r="Q18" s="81" t="n"/>
      <c r="R18" s="81" t="n"/>
      <c r="S18" s="81" t="n"/>
      <c r="T18" s="81" t="n"/>
      <c r="U18" s="81" t="n"/>
      <c r="V18" s="81" t="n"/>
      <c r="W18" s="9" t="n"/>
    </row>
    <row r="19" ht="15" customHeight="1">
      <c r="A19" s="81" t="n"/>
      <c r="B19" s="83" t="n"/>
      <c r="C19" s="81" t="n"/>
      <c r="D19" s="81" t="n"/>
      <c r="E19" s="81" t="n"/>
      <c r="F19" s="83" t="n"/>
      <c r="G19" s="83" t="n"/>
      <c r="H19" s="81" t="n"/>
      <c r="I19" s="81" t="n"/>
      <c r="J19" s="462" t="n"/>
      <c r="K19" s="81" t="n"/>
      <c r="L19" s="81" t="n"/>
      <c r="M19" s="81" t="n"/>
      <c r="N19" s="81" t="n"/>
      <c r="O19" s="81" t="n"/>
      <c r="P19" s="81" t="n"/>
      <c r="Q19" s="81" t="n"/>
      <c r="R19" s="81" t="n"/>
      <c r="S19" s="81" t="n"/>
      <c r="T19" s="81" t="n"/>
      <c r="U19" s="81" t="n"/>
      <c r="V19" s="27" t="n"/>
      <c r="W19" s="9" t="n"/>
    </row>
    <row r="20">
      <c r="A20" s="81" t="n"/>
      <c r="B20" s="83" t="n"/>
      <c r="C20" s="81" t="n"/>
      <c r="D20" s="81" t="n"/>
      <c r="E20" s="81" t="n"/>
      <c r="F20" s="83" t="n"/>
      <c r="G20" s="83" t="n"/>
      <c r="H20" s="81" t="n"/>
      <c r="I20" s="81" t="n"/>
      <c r="J20" s="462" t="n"/>
      <c r="K20" s="81" t="n"/>
      <c r="L20" s="81" t="n"/>
      <c r="M20" s="81" t="n"/>
      <c r="N20" s="81" t="n"/>
      <c r="O20" s="81" t="n"/>
      <c r="P20" s="81" t="n"/>
      <c r="Q20" s="81" t="n"/>
      <c r="R20" s="81" t="n"/>
      <c r="S20" s="81" t="n"/>
      <c r="T20" s="81" t="n"/>
      <c r="U20" s="81" t="n"/>
      <c r="V20" s="81" t="n"/>
      <c r="W20" s="9" t="n"/>
    </row>
    <row r="21">
      <c r="A21" s="81" t="n"/>
      <c r="B21" s="83" t="n"/>
      <c r="C21" s="81" t="n"/>
      <c r="D21" s="81" t="n"/>
      <c r="E21" s="81" t="n"/>
      <c r="F21" s="83" t="n"/>
      <c r="G21" s="83" t="n"/>
      <c r="H21" s="81" t="n"/>
      <c r="I21" s="81" t="n"/>
      <c r="J21" s="462" t="n"/>
      <c r="K21" s="81" t="n"/>
      <c r="L21" s="81" t="n"/>
      <c r="M21" s="81" t="n"/>
      <c r="N21" s="81" t="n"/>
      <c r="O21" s="81" t="n"/>
      <c r="P21" s="81" t="n"/>
      <c r="Q21" s="81" t="n"/>
      <c r="R21" s="81" t="n"/>
      <c r="S21" s="81" t="n"/>
      <c r="T21" s="81" t="n"/>
      <c r="U21" s="81" t="n"/>
      <c r="V21" s="81" t="n"/>
      <c r="W21" s="9" t="n"/>
    </row>
    <row r="22">
      <c r="A22" s="81" t="n"/>
      <c r="B22" s="83" t="n"/>
      <c r="C22" s="81" t="n"/>
      <c r="D22" s="81" t="n"/>
      <c r="E22" s="81" t="n"/>
      <c r="F22" s="83" t="n"/>
      <c r="G22" s="83" t="n"/>
      <c r="H22" s="81" t="n"/>
      <c r="I22" s="81" t="n"/>
      <c r="J22" s="462" t="n"/>
      <c r="K22" s="81" t="n"/>
      <c r="L22" s="81" t="n"/>
      <c r="M22" s="81" t="n"/>
      <c r="N22" s="81" t="n"/>
      <c r="O22" s="81" t="n"/>
      <c r="P22" s="81" t="n"/>
      <c r="Q22" s="81" t="n"/>
      <c r="R22" s="81" t="n"/>
      <c r="S22" s="81" t="n"/>
      <c r="T22" s="81" t="n"/>
      <c r="U22" s="81" t="n"/>
      <c r="V22" s="81" t="n"/>
      <c r="W22" s="9" t="n"/>
    </row>
    <row r="23">
      <c r="A23" s="81" t="n"/>
      <c r="B23" s="83" t="n"/>
      <c r="C23" s="81" t="n"/>
      <c r="D23" s="81" t="n"/>
      <c r="E23" s="81" t="n"/>
      <c r="F23" s="83" t="n"/>
      <c r="G23" s="83" t="n"/>
      <c r="H23" s="81" t="n"/>
      <c r="I23" s="81" t="n"/>
      <c r="J23" s="462" t="n"/>
      <c r="K23" s="81" t="n"/>
      <c r="L23" s="81" t="n"/>
      <c r="M23" s="81" t="n"/>
      <c r="N23" s="81" t="n"/>
      <c r="O23" s="81" t="n"/>
      <c r="P23" s="81" t="n"/>
      <c r="Q23" s="81" t="n"/>
      <c r="R23" s="81" t="n"/>
      <c r="S23" s="81" t="n"/>
      <c r="T23" s="81" t="n"/>
      <c r="U23" s="81" t="n"/>
      <c r="V23" s="81" t="n"/>
      <c r="W23" s="9" t="n"/>
    </row>
    <row r="24">
      <c r="A24" s="81" t="n"/>
      <c r="B24" s="83" t="n"/>
      <c r="C24" s="81" t="n"/>
      <c r="D24" s="81" t="n"/>
      <c r="E24" s="81" t="n"/>
      <c r="F24" s="83" t="n"/>
      <c r="G24" s="83" t="n"/>
      <c r="H24" s="81" t="n"/>
      <c r="I24" s="81" t="n"/>
      <c r="J24" s="462" t="n"/>
      <c r="K24" s="81" t="n"/>
      <c r="L24" s="81" t="n"/>
      <c r="M24" s="81" t="n"/>
      <c r="N24" s="81" t="n"/>
      <c r="O24" s="81" t="n"/>
      <c r="P24" s="81" t="n"/>
      <c r="Q24" s="81" t="n"/>
      <c r="R24" s="81" t="n"/>
      <c r="S24" s="81" t="n"/>
      <c r="T24" s="81" t="n"/>
      <c r="U24" s="81" t="n"/>
      <c r="V24" s="81" t="n"/>
      <c r="W24" s="9" t="n"/>
    </row>
    <row r="25">
      <c r="A25" s="81" t="n"/>
      <c r="B25" s="81" t="n"/>
      <c r="C25" s="81" t="n"/>
      <c r="D25" s="81" t="n"/>
      <c r="E25" s="81" t="n"/>
      <c r="F25" s="81" t="n"/>
      <c r="G25" s="81" t="n"/>
      <c r="H25" s="81" t="n"/>
      <c r="I25" s="81" t="n"/>
      <c r="J25" s="462" t="n"/>
      <c r="K25" s="81" t="n"/>
      <c r="L25" s="81" t="n"/>
      <c r="M25" s="81" t="n"/>
      <c r="N25" s="81" t="n"/>
      <c r="O25" s="81" t="n"/>
      <c r="P25" s="81" t="n"/>
      <c r="Q25" s="81" t="n"/>
      <c r="R25" s="81" t="n"/>
      <c r="S25" s="81" t="n"/>
      <c r="T25" s="81" t="n"/>
      <c r="U25" s="81" t="n"/>
      <c r="V25" s="81" t="n"/>
      <c r="W25" s="9" t="n"/>
    </row>
    <row r="26">
      <c r="A26" s="81" t="n"/>
      <c r="B26" s="81" t="n"/>
      <c r="C26" s="81" t="n"/>
      <c r="D26" s="81" t="n"/>
      <c r="E26" s="81" t="n"/>
      <c r="F26" s="81" t="n"/>
      <c r="G26" s="81" t="n"/>
      <c r="H26" s="81" t="n"/>
      <c r="I26" s="81" t="n"/>
      <c r="J26" s="462" t="n"/>
      <c r="K26" s="81" t="n"/>
      <c r="L26" s="81" t="n"/>
      <c r="M26" s="81" t="n"/>
      <c r="N26" s="81" t="n"/>
      <c r="O26" s="81" t="n"/>
      <c r="P26" s="81" t="n"/>
      <c r="Q26" s="81" t="n"/>
      <c r="R26" s="81" t="n"/>
      <c r="S26" s="81" t="n"/>
      <c r="T26" s="81" t="n"/>
      <c r="U26" s="81" t="n"/>
      <c r="V26" s="81" t="n"/>
      <c r="W26" s="9" t="n"/>
    </row>
    <row r="27">
      <c r="A27" s="81" t="n"/>
      <c r="B27" s="81" t="n"/>
      <c r="C27" s="81" t="n"/>
      <c r="D27" s="81" t="n"/>
      <c r="E27" s="81" t="n"/>
      <c r="F27" s="81" t="n"/>
      <c r="G27" s="81" t="n"/>
      <c r="H27" s="81" t="n"/>
      <c r="I27" s="81" t="n"/>
      <c r="J27" s="462" t="n"/>
      <c r="K27" s="81" t="n"/>
      <c r="L27" s="81" t="n"/>
      <c r="M27" s="81" t="n"/>
      <c r="N27" s="81" t="n"/>
      <c r="O27" s="81" t="n"/>
      <c r="P27" s="81" t="n"/>
      <c r="Q27" s="81" t="n"/>
      <c r="R27" s="81" t="n"/>
      <c r="S27" s="81" t="n"/>
      <c r="T27" s="81" t="n"/>
      <c r="U27" s="81" t="n"/>
      <c r="V27" s="81" t="n"/>
      <c r="W27" s="9" t="n"/>
    </row>
    <row r="28">
      <c r="A28" s="81" t="n"/>
      <c r="B28" s="81" t="n"/>
      <c r="C28" s="81" t="n"/>
      <c r="D28" s="81" t="n"/>
      <c r="E28" s="81" t="n"/>
      <c r="F28" s="81" t="n"/>
      <c r="G28" s="81" t="n"/>
      <c r="H28" s="81" t="n"/>
      <c r="I28" s="81" t="n"/>
      <c r="J28" s="462" t="n"/>
      <c r="K28" s="81" t="n"/>
      <c r="L28" s="81" t="n"/>
      <c r="M28" s="81" t="n"/>
      <c r="N28" s="81" t="n"/>
      <c r="O28" s="81" t="n"/>
      <c r="P28" s="81" t="n"/>
      <c r="Q28" s="81" t="n"/>
      <c r="R28" s="81" t="n"/>
      <c r="S28" s="81" t="n"/>
      <c r="T28" s="81" t="n"/>
      <c r="U28" s="81" t="n"/>
      <c r="V28" s="81" t="n"/>
      <c r="W28" s="9" t="n"/>
    </row>
    <row r="29">
      <c r="A29" s="81" t="n"/>
      <c r="B29" s="81" t="n"/>
      <c r="C29" s="81" t="n"/>
      <c r="D29" s="81" t="n"/>
      <c r="E29" s="81" t="n"/>
      <c r="F29" s="81" t="n"/>
      <c r="G29" s="81" t="n"/>
      <c r="H29" s="81" t="n"/>
      <c r="I29" s="81" t="n"/>
      <c r="J29" s="462" t="n"/>
      <c r="K29" s="81" t="n"/>
      <c r="L29" s="81" t="n"/>
      <c r="M29" s="81" t="n"/>
      <c r="N29" s="81" t="n"/>
      <c r="O29" s="81" t="n"/>
      <c r="P29" s="81" t="n"/>
      <c r="Q29" s="81" t="n"/>
      <c r="R29" s="81" t="n"/>
      <c r="S29" s="81" t="n"/>
      <c r="T29" s="81" t="n"/>
      <c r="U29" s="81" t="n"/>
      <c r="V29" s="81" t="n"/>
      <c r="W29" s="9" t="n"/>
    </row>
    <row r="30">
      <c r="A30" s="81" t="n"/>
      <c r="B30" s="81" t="n"/>
      <c r="C30" s="81" t="n"/>
      <c r="D30" s="81" t="n"/>
      <c r="E30" s="81" t="n"/>
      <c r="F30" s="81" t="n"/>
      <c r="G30" s="81" t="n"/>
      <c r="H30" s="81" t="n"/>
      <c r="I30" s="81" t="n"/>
      <c r="J30" s="462" t="n"/>
      <c r="K30" s="81" t="n"/>
      <c r="L30" s="81" t="n"/>
      <c r="M30" s="81" t="n"/>
      <c r="N30" s="81" t="n"/>
      <c r="O30" s="81" t="n"/>
      <c r="P30" s="81" t="n"/>
      <c r="Q30" s="81" t="n"/>
      <c r="R30" s="81" t="n"/>
      <c r="S30" s="81" t="n"/>
      <c r="T30" s="81" t="n"/>
      <c r="U30" s="81" t="n"/>
      <c r="V30" s="81" t="n"/>
      <c r="W30" s="9" t="n"/>
    </row>
    <row r="31">
      <c r="A31" s="81" t="n"/>
      <c r="B31" s="81" t="n"/>
      <c r="C31" s="81" t="n"/>
      <c r="D31" s="81" t="n"/>
      <c r="E31" s="81" t="n"/>
      <c r="F31" s="81" t="n"/>
      <c r="G31" s="81" t="n"/>
      <c r="H31" s="81" t="n"/>
      <c r="I31" s="81" t="n"/>
      <c r="J31" s="462" t="n"/>
      <c r="K31" s="81" t="n"/>
      <c r="L31" s="81" t="n"/>
      <c r="M31" s="81" t="n"/>
      <c r="N31" s="81" t="n"/>
      <c r="O31" s="81" t="n"/>
      <c r="P31" s="81" t="n"/>
      <c r="Q31" s="81" t="n"/>
      <c r="R31" s="81" t="n"/>
      <c r="S31" s="81" t="n"/>
      <c r="T31" s="81" t="n"/>
      <c r="U31" s="81" t="n"/>
      <c r="V31" s="81" t="n"/>
      <c r="W31" s="9" t="n"/>
    </row>
    <row r="32">
      <c r="A32" s="81" t="n"/>
      <c r="B32" s="81" t="n"/>
      <c r="C32" s="81" t="n"/>
      <c r="D32" s="81" t="n"/>
      <c r="E32" s="81" t="n"/>
      <c r="F32" s="81" t="n"/>
      <c r="G32" s="81" t="n"/>
      <c r="H32" s="81" t="n"/>
      <c r="I32" s="81" t="n"/>
      <c r="J32" s="462" t="n"/>
      <c r="K32" s="81" t="n"/>
      <c r="L32" s="81" t="n"/>
      <c r="M32" s="81" t="n"/>
      <c r="N32" s="81" t="n"/>
      <c r="O32" s="81" t="n"/>
      <c r="P32" s="81" t="n"/>
      <c r="Q32" s="81" t="n"/>
      <c r="R32" s="81" t="n"/>
      <c r="S32" s="81" t="n"/>
      <c r="T32" s="81" t="n"/>
      <c r="U32" s="81" t="n"/>
      <c r="V32" s="81" t="n"/>
      <c r="W32" s="9" t="n"/>
    </row>
    <row r="33">
      <c r="A33" s="81" t="n"/>
      <c r="B33" s="81" t="n"/>
      <c r="C33" s="81" t="n"/>
      <c r="D33" s="81" t="n"/>
      <c r="E33" s="81" t="n"/>
      <c r="F33" s="81" t="n"/>
      <c r="G33" s="81" t="n"/>
      <c r="H33" s="81" t="n"/>
      <c r="I33" s="81" t="n"/>
      <c r="J33" s="462" t="n"/>
      <c r="K33" s="81" t="n"/>
      <c r="L33" s="81" t="n"/>
      <c r="M33" s="81" t="n"/>
      <c r="N33" s="81" t="n"/>
      <c r="O33" s="81" t="n"/>
      <c r="P33" s="81" t="n"/>
      <c r="Q33" s="81" t="n"/>
      <c r="R33" s="81" t="n"/>
      <c r="S33" s="81" t="n"/>
      <c r="T33" s="81" t="n"/>
      <c r="U33" s="81" t="n"/>
      <c r="V33" s="81" t="n"/>
      <c r="W33" s="9" t="n"/>
    </row>
    <row r="34">
      <c r="A34" s="81" t="n"/>
      <c r="B34" s="81" t="n"/>
      <c r="C34" s="81" t="n"/>
      <c r="D34" s="81" t="n"/>
      <c r="E34" s="81" t="n"/>
      <c r="F34" s="81" t="n"/>
      <c r="G34" s="81" t="n"/>
      <c r="H34" s="81" t="n"/>
      <c r="I34" s="81" t="n"/>
      <c r="J34" s="462" t="n"/>
      <c r="K34" s="81" t="n"/>
      <c r="L34" s="81" t="n"/>
      <c r="M34" s="81" t="n"/>
      <c r="N34" s="81" t="n"/>
      <c r="O34" s="81" t="n"/>
      <c r="P34" s="81" t="n"/>
      <c r="Q34" s="81" t="n"/>
      <c r="R34" s="81" t="n"/>
      <c r="S34" s="81" t="n"/>
      <c r="T34" s="81" t="n"/>
      <c r="U34" s="81" t="n"/>
      <c r="V34" s="81" t="n"/>
      <c r="W34" s="9" t="n"/>
    </row>
    <row r="35">
      <c r="A35" s="81" t="n"/>
      <c r="B35" s="81" t="n"/>
      <c r="C35" s="81" t="n"/>
      <c r="D35" s="81" t="n"/>
      <c r="E35" s="81" t="n"/>
      <c r="F35" s="81" t="n"/>
      <c r="G35" s="81" t="n"/>
      <c r="H35" s="81" t="n"/>
      <c r="I35" s="81" t="n"/>
      <c r="J35" s="462" t="n"/>
      <c r="K35" s="81" t="n"/>
      <c r="L35" s="81" t="n"/>
      <c r="M35" s="81" t="n"/>
      <c r="N35" s="81" t="n"/>
      <c r="O35" s="81" t="n"/>
      <c r="P35" s="81" t="n"/>
      <c r="Q35" s="81" t="n"/>
      <c r="R35" s="81" t="n"/>
      <c r="S35" s="81" t="n"/>
      <c r="T35" s="81" t="n"/>
      <c r="U35" s="81" t="n"/>
      <c r="V35" s="81" t="n"/>
      <c r="W35" s="9" t="n"/>
    </row>
    <row r="36">
      <c r="A36" s="81" t="n"/>
      <c r="B36" s="81" t="n"/>
      <c r="C36" s="81" t="n"/>
      <c r="D36" s="81" t="n"/>
      <c r="E36" s="81" t="n"/>
      <c r="F36" s="81" t="n"/>
      <c r="G36" s="81" t="n"/>
      <c r="H36" s="81" t="n"/>
      <c r="I36" s="81" t="n"/>
      <c r="J36" s="462" t="n"/>
      <c r="K36" s="81" t="n"/>
      <c r="L36" s="81" t="n"/>
      <c r="M36" s="81" t="n"/>
      <c r="N36" s="81" t="n"/>
      <c r="O36" s="81" t="n"/>
      <c r="P36" s="81" t="n"/>
      <c r="Q36" s="81" t="n"/>
      <c r="R36" s="81" t="n"/>
      <c r="S36" s="81" t="n"/>
      <c r="T36" s="81" t="n"/>
      <c r="U36" s="81" t="n"/>
      <c r="V36" s="81" t="n"/>
      <c r="W36" s="9" t="n"/>
    </row>
    <row r="37">
      <c r="A37" s="81" t="n"/>
      <c r="B37" s="81" t="n"/>
      <c r="C37" s="81" t="n"/>
      <c r="D37" s="81" t="n"/>
      <c r="E37" s="81" t="n"/>
      <c r="F37" s="81" t="n"/>
      <c r="G37" s="81" t="n"/>
      <c r="H37" s="81" t="n"/>
      <c r="I37" s="81" t="n"/>
      <c r="J37" s="462" t="n"/>
      <c r="K37" s="81" t="n"/>
      <c r="L37" s="81" t="n"/>
      <c r="M37" s="81" t="n"/>
      <c r="N37" s="81" t="n"/>
      <c r="O37" s="81" t="n"/>
      <c r="P37" s="81" t="n"/>
      <c r="Q37" s="81" t="n"/>
      <c r="R37" s="81" t="n"/>
      <c r="S37" s="81" t="n"/>
      <c r="T37" s="81" t="n"/>
      <c r="U37" s="81" t="n"/>
      <c r="V37" s="81" t="n"/>
      <c r="W37" s="9" t="n"/>
    </row>
    <row r="38"/>
    <row r="39" ht="15.6" customHeight="1">
      <c r="H39" s="391" t="n"/>
    </row>
    <row r="40"/>
    <row r="41"/>
    <row r="42"/>
    <row r="43"/>
    <row r="44"/>
    <row r="45"/>
    <row r="46"/>
    <row r="47"/>
    <row r="48"/>
    <row r="49">
      <c r="K49" s="446" t="n"/>
    </row>
  </sheetData>
  <conditionalFormatting sqref="I5:I15 K5:R15 T5:T15">
    <cfRule type="cellIs" priority="2" operator="equal" dxfId="0">
      <formula>0</formula>
    </cfRule>
  </conditionalFormatting>
  <conditionalFormatting sqref="R12:R13">
    <cfRule type="cellIs" priority="1" operator="equal" dxfId="0">
      <formula>0</formula>
    </cfRule>
  </conditionalFormatting>
  <pageMargins left="0.7" right="0.7" top="0.75" bottom="0.75" header="0.3" footer="0.3"/>
  <pageSetup orientation="portrait" paperSize="9"/>
  <drawing r:id="rId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C49"/>
  <sheetViews>
    <sheetView zoomScale="70" workbookViewId="0">
      <selection activeCell="A1" sqref="A1"/>
    </sheetView>
  </sheetViews>
  <sheetFormatPr baseColWidth="8" defaultRowHeight="15"/>
  <cols>
    <col width="23" customWidth="1" min="1" max="1"/>
    <col width="25.77734375" customWidth="1" min="2" max="2"/>
    <col width="21.44140625" customWidth="1" min="3" max="3"/>
    <col hidden="1" width="20.109375" customWidth="1" min="4" max="4"/>
    <col width="12.6640625" customWidth="1" min="5" max="5"/>
    <col width="22.33203125" customWidth="1" min="6" max="6"/>
    <col width="22.21875" customWidth="1" min="7" max="7"/>
    <col width="12.6640625" customWidth="1" min="8" max="8"/>
    <col hidden="1" width="12.6640625" customWidth="1" min="9" max="9"/>
    <col width="11.44140625" customWidth="1" min="10" max="10"/>
    <col width="13.44140625" customWidth="1" min="11" max="11"/>
    <col width="13.44140625" customWidth="1" min="12" max="12"/>
    <col width="16.6640625" customWidth="1" min="13" max="13"/>
    <col hidden="1" width="15" customWidth="1" min="14" max="14"/>
    <col width="16.109375" customWidth="1" min="15" max="15"/>
    <col width="16.5546875" customWidth="1" min="16" max="16"/>
    <col width="10.5546875" customWidth="1" min="17" max="17"/>
    <col width="18.5546875" customWidth="1" min="18" max="18"/>
    <col width="11.6640625" customWidth="1" min="19" max="19"/>
    <col width="19.6640625" customWidth="1" min="20" max="20"/>
    <col width="13.44140625" customWidth="1" min="21" max="21"/>
    <col width="16.44140625" customWidth="1" min="22" max="22"/>
    <col width="13" customWidth="1" min="23" max="23"/>
    <col width="13" customWidth="1" min="24" max="24"/>
    <col width="16" customWidth="1" min="25" max="25"/>
    <col width="16" customWidth="1" min="26" max="26"/>
    <col width="13" customWidth="1" min="27" max="27"/>
    <col width="17.33203125" customWidth="1" min="28" max="28"/>
    <col width="17.33203125" customWidth="1" min="29" max="29"/>
  </cols>
  <sheetData>
    <row r="1" ht="15.6" customHeight="1">
      <c r="A1" s="518" t="n"/>
      <c r="B1" s="518" t="n"/>
      <c r="C1" s="518" t="n"/>
      <c r="D1" s="518" t="n"/>
      <c r="E1" s="519" t="inlineStr">
        <is>
          <t>% Organic</t>
        </is>
      </c>
      <c r="F1" s="518" t="n"/>
      <c r="G1" s="518" t="n"/>
      <c r="H1" s="520" t="n"/>
      <c r="I1" s="521" t="inlineStr">
        <is>
          <t>% Organic</t>
        </is>
      </c>
      <c r="J1" s="518" t="n"/>
      <c r="K1" s="518" t="n"/>
      <c r="L1" s="518" t="n"/>
      <c r="M1" s="518" t="n"/>
      <c r="N1" s="518" t="n"/>
      <c r="O1" s="518" t="n"/>
      <c r="P1" s="518" t="inlineStr">
        <is>
          <t>.</t>
        </is>
      </c>
      <c r="Q1" s="518" t="n"/>
      <c r="R1" s="518" t="inlineStr">
        <is>
          <t>.</t>
        </is>
      </c>
      <c r="S1" s="518" t="n"/>
      <c r="T1" s="518" t="n"/>
      <c r="U1" s="518" t="n"/>
      <c r="V1" s="522" t="n"/>
      <c r="W1" s="523" t="n"/>
      <c r="X1" s="522" t="n"/>
      <c r="Y1" s="522" t="n"/>
      <c r="Z1" s="522" t="n"/>
      <c r="AA1" s="522" t="n"/>
      <c r="AB1" s="522" t="n"/>
      <c r="AC1" s="522" t="n"/>
    </row>
    <row r="2" ht="16.5" customHeight="1">
      <c r="A2" s="518" t="n"/>
      <c r="B2" s="518" t="n"/>
      <c r="C2" s="518" t="n"/>
      <c r="D2" s="518" t="n"/>
      <c r="E2" s="524">
        <f>((B4-C4)/B4)</f>
        <v/>
      </c>
      <c r="F2" s="525" t="n"/>
      <c r="G2" s="518" t="n"/>
      <c r="H2" s="518" t="n"/>
      <c r="I2" s="526">
        <f>((B4-D4)/D4)</f>
        <v/>
      </c>
      <c r="J2" s="527" t="n"/>
      <c r="K2" s="518" t="n"/>
      <c r="L2" s="518" t="n"/>
      <c r="M2" s="518" t="n"/>
      <c r="N2" s="518" t="n"/>
      <c r="O2" s="518" t="n"/>
      <c r="P2" s="518" t="n"/>
      <c r="Q2" s="518" t="n"/>
      <c r="R2" s="518" t="n"/>
      <c r="S2" s="518" t="n"/>
      <c r="T2" s="518" t="n"/>
      <c r="U2" s="518" t="n"/>
      <c r="V2" s="522" t="n"/>
      <c r="W2" s="528" t="n"/>
      <c r="X2" s="522" t="n"/>
      <c r="Y2" s="522" t="n"/>
      <c r="Z2" s="522" t="n"/>
      <c r="AA2" s="522" t="n"/>
      <c r="AB2" s="522" t="n"/>
      <c r="AC2" s="522" t="n"/>
    </row>
    <row r="3" ht="41.4" customHeight="1">
      <c r="A3" s="529" t="n"/>
      <c r="B3" s="530" t="inlineStr">
        <is>
          <t>Current Week (Net)</t>
        </is>
      </c>
      <c r="C3" s="531" t="inlineStr">
        <is>
          <t>Last Week (Net)</t>
        </is>
      </c>
      <c r="D3" s="532" t="inlineStr">
        <is>
          <t>LAST YEAR (Net) 2019</t>
        </is>
      </c>
      <c r="E3" s="532" t="inlineStr">
        <is>
          <t>% to LW</t>
        </is>
      </c>
      <c r="F3" s="532" t="inlineStr">
        <is>
          <t>Month To Date T/Over</t>
        </is>
      </c>
      <c r="G3" s="532" t="inlineStr">
        <is>
          <t>LAST YEAR (Net) 2022</t>
        </is>
      </c>
      <c r="H3" s="532" t="inlineStr">
        <is>
          <t>% to LW 2022</t>
        </is>
      </c>
      <c r="I3" s="532" t="inlineStr">
        <is>
          <t>% to LY 2019</t>
        </is>
      </c>
      <c r="J3" s="532" t="inlineStr">
        <is>
          <t>Invoices</t>
        </is>
      </c>
      <c r="K3" s="532" t="inlineStr">
        <is>
          <t>Avg Spend per Bill</t>
        </is>
      </c>
      <c r="L3" s="533" t="n"/>
      <c r="M3" s="534" t="inlineStr">
        <is>
          <t>Mac &amp; Rib</t>
        </is>
      </c>
      <c r="N3" s="532" t="inlineStr">
        <is>
          <t>% To Covers</t>
        </is>
      </c>
      <c r="O3" s="532" t="n"/>
      <c r="P3" s="534" t="inlineStr">
        <is>
          <t>Mac &amp; Rib Monthly</t>
        </is>
      </c>
      <c r="Q3" s="532" t="inlineStr">
        <is>
          <t>% To Date</t>
        </is>
      </c>
      <c r="R3" s="532" t="inlineStr">
        <is>
          <t>Uber / Mr D Deliveries</t>
        </is>
      </c>
      <c r="S3" s="532" t="inlineStr">
        <is>
          <t>% To Date</t>
        </is>
      </c>
      <c r="T3" s="532" t="inlineStr">
        <is>
          <t>WhatsApp</t>
        </is>
      </c>
      <c r="U3" s="532" t="inlineStr">
        <is>
          <t>WhatsApp % of TO</t>
        </is>
      </c>
      <c r="V3" s="535" t="inlineStr">
        <is>
          <t>Non-Banking</t>
        </is>
      </c>
      <c r="W3" s="536" t="n"/>
      <c r="X3" s="522" t="n"/>
      <c r="Y3" s="535" t="inlineStr">
        <is>
          <t>Delivery</t>
        </is>
      </c>
      <c r="Z3" s="537" t="n"/>
      <c r="AA3" s="522" t="n"/>
      <c r="AB3" s="535" t="inlineStr">
        <is>
          <t>Whatsapp /Takeout</t>
        </is>
      </c>
      <c r="AC3" s="537" t="n"/>
    </row>
    <row r="4" ht="15.6" customHeight="1">
      <c r="A4" s="538" t="inlineStr">
        <is>
          <t>GROUP TOTAL</t>
        </is>
      </c>
      <c r="B4" s="539">
        <f>SUM(B5:B15)</f>
        <v/>
      </c>
      <c r="C4" s="539">
        <f>SUM(C5:C15)</f>
        <v/>
      </c>
      <c r="D4" s="539">
        <f>SUM(D5:D15)</f>
        <v/>
      </c>
      <c r="E4" s="540">
        <f>IFERROR((SUM(B4-C4)/B4),0)</f>
        <v/>
      </c>
      <c r="F4" s="539">
        <f>SUM(F5:F15)</f>
        <v/>
      </c>
      <c r="G4" s="539">
        <f>SUM(G5:G15)</f>
        <v/>
      </c>
      <c r="H4" s="541">
        <f>IFERROR((SUM(B4-G4)/G4),0)</f>
        <v/>
      </c>
      <c r="I4" s="542">
        <f>IFERROR((SUM(B4-D4)/D4),0)</f>
        <v/>
      </c>
      <c r="J4" s="539">
        <f>SUM(J5:J15)</f>
        <v/>
      </c>
      <c r="K4" s="539">
        <f>AVERAGE(K5:K15)</f>
        <v/>
      </c>
      <c r="L4" s="539">
        <f>SUM(L6:L15)</f>
        <v/>
      </c>
      <c r="M4" s="539">
        <f>SUM(M5:M15)</f>
        <v/>
      </c>
      <c r="N4" s="539">
        <f>IFERROR(M4/J4,0)</f>
        <v/>
      </c>
      <c r="O4" s="539">
        <f>SUM(O6:O15)</f>
        <v/>
      </c>
      <c r="P4" s="539">
        <f>SUM(P7:P15)</f>
        <v/>
      </c>
      <c r="Q4" s="539">
        <f>IFERROR(P4/SUM(J4),0)</f>
        <v/>
      </c>
      <c r="R4" s="539">
        <f>SUM(R5:R15)</f>
        <v/>
      </c>
      <c r="S4" s="539">
        <f>SUM(R4/B4)</f>
        <v/>
      </c>
      <c r="T4" s="539">
        <f>SUM(T5:T15)</f>
        <v/>
      </c>
      <c r="U4" s="538">
        <f>SUM(T4/B4)</f>
        <v/>
      </c>
      <c r="V4" s="543">
        <f>SUM(V5:V15)</f>
        <v/>
      </c>
      <c r="W4" s="536" t="n"/>
      <c r="X4" s="522" t="n"/>
      <c r="Y4" s="537" t="n"/>
      <c r="Z4" s="537" t="n"/>
      <c r="AA4" s="522" t="n"/>
      <c r="AB4" s="537" t="n"/>
      <c r="AC4" s="537" t="n"/>
    </row>
    <row r="5" ht="15.6" customHeight="1">
      <c r="A5" s="532" t="inlineStr">
        <is>
          <t>Hartenbos</t>
        </is>
      </c>
      <c r="B5" s="537" t="n"/>
      <c r="C5" s="537" t="n">
        <v>273101.15</v>
      </c>
      <c r="D5" s="544" t="n">
        <v>166877.21</v>
      </c>
      <c r="E5" s="540">
        <f>IFERROR((SUM(B5-C5)/B5),0)</f>
        <v/>
      </c>
      <c r="F5" s="537" t="n"/>
      <c r="G5" s="537" t="n"/>
      <c r="H5" s="541">
        <f>IFERROR((SUM(B5-G5)/G5),0)</f>
        <v/>
      </c>
      <c r="I5" s="529">
        <f>IFERROR((SUM(B5-D5)/D5),0)</f>
        <v/>
      </c>
      <c r="J5" s="537" t="n"/>
      <c r="K5" s="529">
        <f>IFERROR(B5/J5,0)</f>
        <v/>
      </c>
      <c r="L5" s="538" t="n"/>
      <c r="M5" s="538" t="n"/>
      <c r="N5" s="538">
        <f>IFERROR(M5/J5,0)</f>
        <v/>
      </c>
      <c r="O5" s="538" t="n"/>
      <c r="P5" s="538" t="n"/>
      <c r="Q5" s="538">
        <f>IFERROR(P5/SUM(J5),0)</f>
        <v/>
      </c>
      <c r="R5" s="529">
        <f>SUM(Z5+AC5)</f>
        <v/>
      </c>
      <c r="S5" s="539">
        <f>SUM(R5/B5)</f>
        <v/>
      </c>
      <c r="T5" s="529">
        <f>SUM(AC5)</f>
        <v/>
      </c>
      <c r="U5" s="538">
        <f>SUM(T5/B5)</f>
        <v/>
      </c>
      <c r="V5" s="537" t="n"/>
      <c r="W5" s="523" t="n"/>
      <c r="X5" s="522" t="n"/>
      <c r="Y5" s="537" t="n"/>
      <c r="Z5" s="545">
        <f>Y5/1.15</f>
        <v/>
      </c>
      <c r="AA5" s="522" t="n"/>
      <c r="AB5" s="537" t="n"/>
      <c r="AC5" s="545">
        <f>SUM(AB5)/1.15</f>
        <v/>
      </c>
    </row>
    <row r="6" ht="15.6" customHeight="1">
      <c r="A6" s="538" t="inlineStr">
        <is>
          <t>Eagles Landing</t>
        </is>
      </c>
      <c r="B6" s="537" t="n"/>
      <c r="C6" s="537" t="n">
        <v>205533.83</v>
      </c>
      <c r="D6" s="544" t="n">
        <v>317233.92</v>
      </c>
      <c r="E6" s="540">
        <f>IFERROR((SUM(B6-C6)/B6),0)</f>
        <v/>
      </c>
      <c r="F6" s="537" t="n"/>
      <c r="G6" s="537" t="n"/>
      <c r="H6" s="541">
        <f>IFERROR((SUM(B6-G6)/G6),0)</f>
        <v/>
      </c>
      <c r="I6" s="529">
        <f>IFERROR((SUM(B6-D6)/D6),0)</f>
        <v/>
      </c>
      <c r="J6" s="537" t="n"/>
      <c r="K6" s="529">
        <f>IFERROR(B6/J6,0)</f>
        <v/>
      </c>
      <c r="L6" s="537" t="n"/>
      <c r="M6" s="537" t="n"/>
      <c r="N6" s="538">
        <f>IFERROR(O7/J6,0)</f>
        <v/>
      </c>
      <c r="O6" s="537" t="n"/>
      <c r="P6" s="537" t="n"/>
      <c r="Q6" s="538">
        <f>IFERROR(P6/SUM(J6),0)</f>
        <v/>
      </c>
      <c r="R6" s="529">
        <f>SUM(Z6+AC6)</f>
        <v/>
      </c>
      <c r="S6" s="539">
        <f>SUM(R6/B6)</f>
        <v/>
      </c>
      <c r="T6" s="529">
        <f>SUM(AC6)</f>
        <v/>
      </c>
      <c r="U6" s="538">
        <f>SUM(T6/B6)</f>
        <v/>
      </c>
      <c r="V6" s="537" t="n"/>
      <c r="W6" s="546" t="n"/>
      <c r="X6" s="522" t="n"/>
      <c r="Y6" s="537" t="n"/>
      <c r="Z6" s="545">
        <f>Y6/1.15</f>
        <v/>
      </c>
      <c r="AA6" s="522" t="n"/>
      <c r="AB6" s="537" t="n"/>
      <c r="AC6" s="545">
        <f>SUM(AB6)/1.15</f>
        <v/>
      </c>
    </row>
    <row r="7" ht="16.5" customHeight="1">
      <c r="A7" s="538" t="inlineStr">
        <is>
          <t>Irene Village</t>
        </is>
      </c>
      <c r="B7" s="537" t="n"/>
      <c r="C7" s="537" t="n">
        <v>199073.79</v>
      </c>
      <c r="D7" s="544" t="n">
        <v>254835.6</v>
      </c>
      <c r="E7" s="540">
        <f>IFERROR((SUM(B7-C7)/B7),0)</f>
        <v/>
      </c>
      <c r="F7" s="537" t="n"/>
      <c r="G7" s="537" t="n"/>
      <c r="H7" s="541">
        <f>IFERROR((SUM(B7-G7)/G7),0)</f>
        <v/>
      </c>
      <c r="I7" s="529">
        <f>IFERROR((SUM(B7-D7)/D7),0)</f>
        <v/>
      </c>
      <c r="J7" s="537" t="n"/>
      <c r="K7" s="529">
        <f>IFERROR(B7/J7,0)</f>
        <v/>
      </c>
      <c r="L7" s="537" t="n"/>
      <c r="M7" s="537" t="n"/>
      <c r="N7" s="538">
        <f>IFERROR(#REF!/J7,0)</f>
        <v/>
      </c>
      <c r="O7" s="537" t="n"/>
      <c r="P7" s="537" t="n"/>
      <c r="Q7" s="538">
        <f>IFERROR(#REF!/SUM(J7),0)</f>
        <v/>
      </c>
      <c r="R7" s="529">
        <f>SUM(Z7+AC7)</f>
        <v/>
      </c>
      <c r="S7" s="539">
        <f>SUM(R7/B7)</f>
        <v/>
      </c>
      <c r="T7" s="529">
        <f>SUM(AC7)</f>
        <v/>
      </c>
      <c r="U7" s="538">
        <f>SUM(T7/B7)</f>
        <v/>
      </c>
      <c r="V7" s="537" t="n"/>
      <c r="W7" s="546" t="n"/>
      <c r="X7" s="522" t="n"/>
      <c r="Y7" s="537" t="n"/>
      <c r="Z7" s="545">
        <f>Y7/1.15</f>
        <v/>
      </c>
      <c r="AA7" s="522" t="n"/>
      <c r="AB7" s="537" t="n"/>
      <c r="AC7" s="545">
        <f>SUM(AB7)/1.15</f>
        <v/>
      </c>
    </row>
    <row r="8" ht="15.6" customHeight="1">
      <c r="A8" s="538" t="inlineStr">
        <is>
          <t>Kyalami Corner</t>
        </is>
      </c>
      <c r="B8" s="522" t="n"/>
      <c r="C8" s="522" t="n"/>
      <c r="D8" s="544" t="n">
        <v>125945.97</v>
      </c>
      <c r="E8" s="540">
        <f>IFERROR((SUM(B8-C8)/B8),0)</f>
        <v/>
      </c>
      <c r="F8" s="537" t="n"/>
      <c r="G8" s="537" t="n"/>
      <c r="H8" s="541">
        <f>IFERROR((SUM(B8-G8)/G8),0)</f>
        <v/>
      </c>
      <c r="I8" s="529">
        <f>IFERROR((SUM(B8-D8)/D8),0)</f>
        <v/>
      </c>
      <c r="J8" s="537" t="n"/>
      <c r="K8" s="529">
        <f>IFERROR(B8/J8,0)</f>
        <v/>
      </c>
      <c r="L8" s="538" t="n"/>
      <c r="M8" s="538" t="n"/>
      <c r="N8" s="538">
        <f>IFERROR(M8/J8,0)</f>
        <v/>
      </c>
      <c r="O8" s="538" t="n"/>
      <c r="P8" s="538" t="n"/>
      <c r="Q8" s="538">
        <f>IFERROR(P8/SUM(J8),0)</f>
        <v/>
      </c>
      <c r="R8" s="529">
        <f>SUM(Z8+AC8)</f>
        <v/>
      </c>
      <c r="S8" s="539">
        <f>SUM(R8/B8)</f>
        <v/>
      </c>
      <c r="T8" s="529">
        <f>SUM(AC8)</f>
        <v/>
      </c>
      <c r="U8" s="538">
        <f>SUM(T8/B8)</f>
        <v/>
      </c>
      <c r="V8" s="537" t="n"/>
      <c r="W8" s="523" t="n"/>
      <c r="X8" s="522" t="n"/>
      <c r="Y8" s="537" t="n"/>
      <c r="Z8" s="545">
        <f>Y8/1.15</f>
        <v/>
      </c>
      <c r="AA8" s="522" t="n"/>
      <c r="AB8" s="537" t="n"/>
      <c r="AC8" s="545">
        <f>SUM(AB8)/1.15</f>
        <v/>
      </c>
    </row>
    <row r="9" ht="15.6" customHeight="1">
      <c r="A9" s="538" t="inlineStr">
        <is>
          <t>Lynnwood</t>
        </is>
      </c>
      <c r="B9" s="537" t="n"/>
      <c r="C9" s="537" t="n">
        <v>192463.68</v>
      </c>
      <c r="D9" s="544" t="n">
        <v>243010.12</v>
      </c>
      <c r="E9" s="540">
        <f>IFERROR((SUM(B9-C9)/B9),0)</f>
        <v/>
      </c>
      <c r="F9" s="537" t="n"/>
      <c r="G9" s="537" t="n"/>
      <c r="H9" s="541">
        <f>IFERROR((SUM(B9-G9)/G9),0)</f>
        <v/>
      </c>
      <c r="I9" s="529">
        <f>IFERROR((SUM(B9-D9)/D9),0)</f>
        <v/>
      </c>
      <c r="J9" s="537" t="n"/>
      <c r="K9" s="529">
        <f>IFERROR(B9/J9,0)</f>
        <v/>
      </c>
      <c r="L9" s="537" t="n"/>
      <c r="M9" s="537" t="n"/>
      <c r="N9" s="538">
        <f>IFERROR(M9/J9,0)</f>
        <v/>
      </c>
      <c r="O9" s="537" t="n"/>
      <c r="P9" s="537" t="n"/>
      <c r="Q9" s="538">
        <f>IFERROR(P9/SUM(J9),0)</f>
        <v/>
      </c>
      <c r="R9" s="529">
        <f>SUM(Z9+AC9)</f>
        <v/>
      </c>
      <c r="S9" s="539">
        <f>SUM(R9/B9)</f>
        <v/>
      </c>
      <c r="T9" s="529">
        <f>SUM(AC9)</f>
        <v/>
      </c>
      <c r="U9" s="538">
        <f>SUM(T9/B9)</f>
        <v/>
      </c>
      <c r="V9" s="537" t="n"/>
      <c r="W9" s="546" t="n"/>
      <c r="X9" s="522" t="n"/>
      <c r="Y9" s="537" t="n"/>
      <c r="Z9" s="545">
        <f>Y9/1.15</f>
        <v/>
      </c>
      <c r="AA9" s="522" t="n"/>
      <c r="AB9" s="537" t="n"/>
      <c r="AC9" s="545">
        <f>SUM(AB9)/1.15</f>
        <v/>
      </c>
    </row>
    <row r="10" ht="15.6" customHeight="1">
      <c r="A10" s="532" t="inlineStr">
        <is>
          <t>Melrose Arch</t>
        </is>
      </c>
      <c r="B10" s="537" t="n"/>
      <c r="C10" s="537" t="n"/>
      <c r="D10" s="544" t="n">
        <v>191397.82</v>
      </c>
      <c r="E10" s="540">
        <f>IFERROR((SUM(B10-C10)/B10),0)</f>
        <v/>
      </c>
      <c r="F10" s="537" t="n"/>
      <c r="G10" s="537" t="n"/>
      <c r="H10" s="541">
        <f>IFERROR((SUM(B10-G10)/G10),0)</f>
        <v/>
      </c>
      <c r="I10" s="529">
        <f>IFERROR((SUM(B11-D10)/D10),0)</f>
        <v/>
      </c>
      <c r="J10" s="537" t="n"/>
      <c r="K10" s="529">
        <f>IFERROR(B11/J11,0)</f>
        <v/>
      </c>
      <c r="L10" s="538" t="n"/>
      <c r="M10" s="538" t="n"/>
      <c r="N10" s="538">
        <f>IFERROR(M11/J11,0)</f>
        <v/>
      </c>
      <c r="O10" s="538" t="n"/>
      <c r="P10" s="538" t="n"/>
      <c r="Q10" s="538">
        <f>IFERROR(P11/SUM(J11),0)</f>
        <v/>
      </c>
      <c r="R10" s="529">
        <f>SUM(Z10+AC10)</f>
        <v/>
      </c>
      <c r="S10" s="539">
        <f>SUM(R10/B10)</f>
        <v/>
      </c>
      <c r="T10" s="529">
        <f>SUM(AC10)</f>
        <v/>
      </c>
      <c r="U10" s="538">
        <f>SUM(T10/B10)</f>
        <v/>
      </c>
      <c r="V10" s="537" t="n"/>
      <c r="W10" s="546" t="n"/>
      <c r="X10" s="522" t="n"/>
      <c r="Y10" s="537" t="n"/>
      <c r="Z10" s="545">
        <f>Y10/1.15</f>
        <v/>
      </c>
      <c r="AA10" s="522" t="n"/>
      <c r="AB10" s="537" t="n"/>
      <c r="AC10" s="545">
        <f>SUM(AB10)/1.15</f>
        <v/>
      </c>
    </row>
    <row r="11" ht="15.6" customHeight="1">
      <c r="A11" s="538" t="inlineStr">
        <is>
          <t>Melville</t>
        </is>
      </c>
      <c r="B11" s="537" t="n"/>
      <c r="C11" s="537" t="n">
        <v>126454.51</v>
      </c>
      <c r="D11" s="544" t="n">
        <v>86713.33</v>
      </c>
      <c r="E11" s="540">
        <f>IFERROR((SUM(B11-C11)/B11),0)</f>
        <v/>
      </c>
      <c r="F11" s="537" t="n"/>
      <c r="G11" s="537" t="n"/>
      <c r="H11" s="541">
        <f>IFERROR((SUM(B11-G11)/G11),0)</f>
        <v/>
      </c>
      <c r="I11" s="529">
        <f>IFERROR((SUM(#REF!-D11)/D11),0)</f>
        <v/>
      </c>
      <c r="J11" s="537" t="n"/>
      <c r="K11" s="529">
        <f>IFERROR(B12/J12,0)</f>
        <v/>
      </c>
      <c r="L11" s="537" t="n"/>
      <c r="M11" s="537" t="n"/>
      <c r="N11" s="538">
        <f>IFERROR(#REF!/J12,0)</f>
        <v/>
      </c>
      <c r="O11" s="537" t="n"/>
      <c r="P11" s="537" t="n"/>
      <c r="Q11" s="538">
        <f>IFERROR(#REF!/SUM(J12),0)</f>
        <v/>
      </c>
      <c r="R11" s="529">
        <f>SUM(Z11+AC11)</f>
        <v/>
      </c>
      <c r="S11" s="539">
        <f>SUM(R11/B11)</f>
        <v/>
      </c>
      <c r="T11" s="529">
        <f>SUM(AC11)</f>
        <v/>
      </c>
      <c r="U11" s="538">
        <f>SUM(T11/B11)</f>
        <v/>
      </c>
      <c r="V11" s="537" t="n"/>
      <c r="W11" s="546" t="n"/>
      <c r="X11" s="522" t="n"/>
      <c r="Y11" s="537" t="n"/>
      <c r="Z11" s="545">
        <f>Y11/1.15</f>
        <v/>
      </c>
      <c r="AA11" s="522" t="n"/>
      <c r="AB11" s="537" t="n"/>
      <c r="AC11" s="545">
        <f>SUM(AB11)/1.15</f>
        <v/>
      </c>
    </row>
    <row r="12" ht="15.6" customHeight="1">
      <c r="A12" s="538" t="inlineStr">
        <is>
          <t>Cambridge Crossing</t>
        </is>
      </c>
      <c r="B12" s="537" t="n"/>
      <c r="C12" s="537" t="n">
        <v>226860.14</v>
      </c>
      <c r="D12" s="544" t="n">
        <v>206751.49</v>
      </c>
      <c r="E12" s="540">
        <f>IFERROR((SUM(B12-C12)/B12),0)</f>
        <v/>
      </c>
      <c r="F12" s="537" t="n"/>
      <c r="G12" s="537" t="n"/>
      <c r="H12" s="541">
        <f>IFERROR((SUM(B12-G12)/G12),0)</f>
        <v/>
      </c>
      <c r="I12" s="529">
        <f>IFERROR((SUM(B12-D12)/D12),0)</f>
        <v/>
      </c>
      <c r="J12" s="537" t="n"/>
      <c r="K12" s="529">
        <f>IFERROR(B12/J12,0)</f>
        <v/>
      </c>
      <c r="L12" s="537" t="n"/>
      <c r="M12" s="537" t="n"/>
      <c r="N12" s="538">
        <f>IFERROR(M12/J12,0)</f>
        <v/>
      </c>
      <c r="O12" s="537" t="n"/>
      <c r="P12" s="537" t="n"/>
      <c r="Q12" s="538">
        <f>IFERROR(P12/SUM(J12),0)</f>
        <v/>
      </c>
      <c r="R12" s="529">
        <f>SUM(Z12+AC12)</f>
        <v/>
      </c>
      <c r="S12" s="539">
        <f>SUM(R12/B12)</f>
        <v/>
      </c>
      <c r="T12" s="529">
        <f>SUM(AC12)</f>
        <v/>
      </c>
      <c r="U12" s="538">
        <f>SUM(T12/B12)</f>
        <v/>
      </c>
      <c r="V12" s="537" t="n"/>
      <c r="W12" s="523" t="n"/>
      <c r="X12" s="522" t="n"/>
      <c r="Y12" s="537" t="n"/>
      <c r="Z12" s="545">
        <f>Y12/1.15</f>
        <v/>
      </c>
      <c r="AA12" s="522" t="n"/>
      <c r="AB12" s="537" t="n"/>
      <c r="AC12" s="545">
        <f>SUM(AB12)/1.15</f>
        <v/>
      </c>
    </row>
    <row r="13" ht="15.6" customHeight="1">
      <c r="A13" s="538" t="inlineStr">
        <is>
          <t>Queenswood</t>
        </is>
      </c>
      <c r="B13" s="537" t="n"/>
      <c r="C13" s="537" t="n">
        <v>128519.42</v>
      </c>
      <c r="D13" s="544" t="n"/>
      <c r="E13" s="540">
        <f>IFERROR((SUM(B13-C13)/B13),0)</f>
        <v/>
      </c>
      <c r="F13" s="537" t="n"/>
      <c r="G13" s="537" t="n"/>
      <c r="H13" s="541">
        <f>IFERROR((SUM(B13-G13)/G13),0)</f>
        <v/>
      </c>
      <c r="I13" s="529">
        <f>IFERROR((SUM(B13-D13)/D13),0)</f>
        <v/>
      </c>
      <c r="J13" s="537" t="n"/>
      <c r="K13" s="529">
        <f>IFERROR(B13/J13,0)</f>
        <v/>
      </c>
      <c r="L13" s="537" t="n"/>
      <c r="M13" s="537" t="n"/>
      <c r="N13" s="538">
        <f>IFERROR(M13/J13,0)</f>
        <v/>
      </c>
      <c r="O13" s="537" t="n"/>
      <c r="P13" s="537" t="n"/>
      <c r="Q13" s="538">
        <f>IFERROR(P13/SUM(J13),0)</f>
        <v/>
      </c>
      <c r="R13" s="529">
        <f>SUM(Z13+AC13)</f>
        <v/>
      </c>
      <c r="S13" s="539">
        <f>SUM(R13/B13)</f>
        <v/>
      </c>
      <c r="T13" s="529">
        <f>SUM(AC13)</f>
        <v/>
      </c>
      <c r="U13" s="538">
        <f>SUM(T13/B13)</f>
        <v/>
      </c>
      <c r="V13" s="537" t="n"/>
      <c r="W13" s="523" t="n"/>
      <c r="X13" s="522" t="n"/>
      <c r="Y13" s="537" t="n"/>
      <c r="Z13" s="545">
        <f>Y13/1.15</f>
        <v/>
      </c>
      <c r="AA13" s="522" t="n"/>
      <c r="AB13" s="537" t="n"/>
      <c r="AC13" s="545">
        <f>SUM(AB13)/1.15</f>
        <v/>
      </c>
    </row>
    <row r="14" ht="15.6" customHeight="1">
      <c r="A14" s="538" t="inlineStr">
        <is>
          <t xml:space="preserve">Waterkloof </t>
        </is>
      </c>
      <c r="B14" s="537" t="n"/>
      <c r="C14" s="537" t="n">
        <v>143873.67</v>
      </c>
      <c r="D14" s="544" t="n">
        <v>144600.03</v>
      </c>
      <c r="E14" s="540">
        <f>IFERROR((SUM(B14-C14)/B14),0)</f>
        <v/>
      </c>
      <c r="F14" s="537" t="n"/>
      <c r="G14" s="537" t="n"/>
      <c r="H14" s="541">
        <f>IFERROR((SUM(B14-G14)/G14),0)</f>
        <v/>
      </c>
      <c r="I14" s="529">
        <f>IFERROR((SUM(B14-D14)/D14),0)</f>
        <v/>
      </c>
      <c r="J14" s="537" t="n"/>
      <c r="K14" s="529">
        <f>IFERROR(B14/J14,0)</f>
        <v/>
      </c>
      <c r="L14" s="537" t="n"/>
      <c r="M14" s="537" t="n"/>
      <c r="N14" s="538">
        <f>IFERROR(M14/J14,0)</f>
        <v/>
      </c>
      <c r="O14" s="537" t="n"/>
      <c r="P14" s="537" t="n"/>
      <c r="Q14" s="538">
        <f>IFERROR(P14/SUM(J14),0)</f>
        <v/>
      </c>
      <c r="R14" s="529">
        <f>SUM(Z14+AC14)</f>
        <v/>
      </c>
      <c r="S14" s="539">
        <f>SUM(R14/B14)</f>
        <v/>
      </c>
      <c r="T14" s="529">
        <f>SUM(AC14)</f>
        <v/>
      </c>
      <c r="U14" s="538">
        <f>SUM(T14/B14)</f>
        <v/>
      </c>
      <c r="V14" s="537" t="n"/>
      <c r="W14" s="546" t="n"/>
      <c r="X14" s="522" t="n"/>
      <c r="Y14" s="537" t="n"/>
      <c r="Z14" s="545">
        <f>Y14/1.15</f>
        <v/>
      </c>
      <c r="AA14" s="522" t="n"/>
      <c r="AB14" s="537" t="n"/>
      <c r="AC14" s="545">
        <f>SUM(AB14)/1.15</f>
        <v/>
      </c>
    </row>
    <row r="15" ht="15.6" customHeight="1">
      <c r="A15" s="532" t="inlineStr">
        <is>
          <t>Stellenbosch</t>
        </is>
      </c>
      <c r="B15" s="537" t="n"/>
      <c r="C15" s="537" t="n">
        <v>138171.05</v>
      </c>
      <c r="D15" s="544" t="n">
        <v>152846.04</v>
      </c>
      <c r="E15" s="541">
        <f>IFERROR((SUM(B15-C15)/B15),0)</f>
        <v/>
      </c>
      <c r="F15" s="537" t="n"/>
      <c r="G15" s="537" t="n"/>
      <c r="H15" s="541">
        <f>IFERROR((SUM(B15-G15)/G15),0)</f>
        <v/>
      </c>
      <c r="I15" s="529">
        <f>IFERROR((SUM(B15-D15)/D15),0)</f>
        <v/>
      </c>
      <c r="J15" s="537" t="n"/>
      <c r="K15" s="529">
        <f>IFERROR(B15/J15,0)</f>
        <v/>
      </c>
      <c r="L15" s="537" t="n"/>
      <c r="M15" s="537" t="n"/>
      <c r="N15" s="538">
        <f>IFERROR(M15/J15,0)</f>
        <v/>
      </c>
      <c r="O15" s="537" t="n"/>
      <c r="P15" s="537" t="n"/>
      <c r="Q15" s="538">
        <f>IFERROR(P15/SUM(J15),0)</f>
        <v/>
      </c>
      <c r="R15" s="529">
        <f>SUM(Z15+AC15)</f>
        <v/>
      </c>
      <c r="S15" s="538">
        <f>SUM(R15/B15)</f>
        <v/>
      </c>
      <c r="T15" s="529">
        <f>SUM(AC15)</f>
        <v/>
      </c>
      <c r="U15" s="538">
        <f>SUM(T15/B15)</f>
        <v/>
      </c>
      <c r="V15" s="537" t="n"/>
      <c r="W15" s="546" t="n"/>
      <c r="X15" s="522" t="n"/>
      <c r="Y15" s="537" t="n"/>
      <c r="Z15" s="545">
        <f>Y15/1.15</f>
        <v/>
      </c>
      <c r="AA15" s="522" t="n"/>
      <c r="AB15" s="537" t="n"/>
      <c r="AC15" s="545">
        <f>SUM(AB15)/1.15</f>
        <v/>
      </c>
    </row>
    <row r="16">
      <c r="A16" s="522" t="n"/>
      <c r="B16" s="522" t="n"/>
      <c r="C16" s="522" t="n"/>
      <c r="D16" s="522" t="n"/>
      <c r="E16" s="522" t="n"/>
      <c r="F16" s="522" t="n"/>
      <c r="G16" s="522" t="n"/>
      <c r="H16" s="522" t="n"/>
      <c r="I16" s="522" t="n"/>
      <c r="J16" s="522" t="n"/>
      <c r="K16" s="522" t="n"/>
      <c r="L16" s="522" t="n"/>
      <c r="M16" s="522" t="n"/>
      <c r="N16" s="522" t="n"/>
      <c r="O16" s="522" t="n"/>
      <c r="P16" s="522" t="n"/>
      <c r="Q16" s="522" t="n"/>
      <c r="R16" s="522" t="n"/>
      <c r="S16" s="522" t="n"/>
      <c r="T16" s="522" t="n"/>
      <c r="U16" s="522" t="n"/>
      <c r="V16" s="522" t="n"/>
      <c r="W16" s="523" t="n"/>
      <c r="X16" s="522" t="n"/>
      <c r="Y16" s="522" t="n"/>
      <c r="Z16" s="522" t="n"/>
      <c r="AA16" s="522" t="n"/>
      <c r="AB16" s="522" t="n"/>
      <c r="AC16" s="522" t="n"/>
    </row>
    <row r="17">
      <c r="A17" s="522" t="n"/>
      <c r="B17" s="522" t="n"/>
      <c r="C17" s="522" t="n"/>
      <c r="D17" s="522" t="n"/>
      <c r="E17" s="522" t="n"/>
      <c r="F17" s="522" t="n"/>
      <c r="G17" s="522" t="n"/>
      <c r="H17" s="522" t="n"/>
      <c r="I17" s="522" t="n"/>
      <c r="J17" s="522" t="n"/>
      <c r="K17" s="522" t="n"/>
      <c r="L17" s="522" t="n"/>
      <c r="M17" s="522" t="n"/>
      <c r="N17" s="522" t="n"/>
      <c r="O17" s="522" t="n"/>
      <c r="P17" s="522" t="n"/>
      <c r="Q17" s="522" t="n"/>
      <c r="R17" s="522" t="n"/>
      <c r="S17" s="522" t="n"/>
      <c r="T17" s="522" t="n"/>
      <c r="U17" s="522" t="n"/>
      <c r="V17" s="522" t="n"/>
      <c r="W17" s="523" t="n"/>
      <c r="X17" s="522" t="n"/>
      <c r="Y17" s="522" t="n"/>
      <c r="Z17" s="522" t="n"/>
      <c r="AA17" s="522" t="n"/>
      <c r="AB17" s="522" t="n"/>
      <c r="AC17" s="522" t="n"/>
    </row>
    <row r="18">
      <c r="A18" s="522" t="n"/>
      <c r="B18" s="522" t="n"/>
      <c r="C18" s="522" t="n"/>
      <c r="D18" s="522" t="n"/>
      <c r="E18" s="522" t="n"/>
      <c r="F18" s="522" t="n"/>
      <c r="G18" s="522" t="n"/>
      <c r="H18" s="522" t="n"/>
      <c r="I18" s="522" t="n"/>
      <c r="J18" s="522" t="n"/>
      <c r="K18" s="522" t="n"/>
      <c r="L18" s="522" t="n"/>
      <c r="M18" s="522" t="n"/>
      <c r="N18" s="522" t="n"/>
      <c r="O18" s="522" t="n"/>
      <c r="P18" s="522" t="n"/>
      <c r="Q18" s="522" t="n"/>
      <c r="R18" s="522" t="n"/>
      <c r="S18" s="522" t="n"/>
      <c r="T18" s="522" t="n"/>
      <c r="U18" s="522" t="n"/>
      <c r="V18" s="522" t="n"/>
      <c r="W18" s="523" t="n"/>
      <c r="X18" s="522" t="n"/>
      <c r="Y18" s="522" t="n"/>
      <c r="Z18" s="522" t="n"/>
      <c r="AA18" s="522" t="n"/>
      <c r="AB18" s="522" t="n"/>
      <c r="AC18" s="522" t="n"/>
    </row>
    <row r="19" ht="15" customHeight="1">
      <c r="A19" s="522" t="n"/>
      <c r="B19" s="522" t="n"/>
      <c r="C19" s="522" t="n"/>
      <c r="D19" s="522" t="n"/>
      <c r="E19" s="522" t="n"/>
      <c r="F19" s="522" t="n"/>
      <c r="G19" s="522" t="n"/>
      <c r="H19" s="522" t="n"/>
      <c r="I19" s="522" t="n"/>
      <c r="J19" s="522" t="n"/>
      <c r="K19" s="522" t="n"/>
      <c r="L19" s="522" t="n"/>
      <c r="M19" s="522" t="n"/>
      <c r="N19" s="522" t="n"/>
      <c r="O19" s="522" t="n"/>
      <c r="P19" s="522" t="n"/>
      <c r="Q19" s="522" t="n"/>
      <c r="R19" s="522" t="n"/>
      <c r="S19" s="522" t="n"/>
      <c r="T19" s="522" t="n"/>
      <c r="U19" s="522" t="n"/>
      <c r="V19" s="547" t="n"/>
      <c r="W19" s="523" t="n"/>
      <c r="X19" s="522" t="n"/>
      <c r="Y19" s="522" t="n"/>
      <c r="Z19" s="522" t="n"/>
      <c r="AA19" s="522" t="n"/>
      <c r="AB19" s="522" t="n"/>
      <c r="AC19" s="522" t="n"/>
    </row>
    <row r="20">
      <c r="A20" s="522" t="n"/>
      <c r="B20" s="522" t="n"/>
      <c r="C20" s="522" t="n"/>
      <c r="D20" s="522" t="n"/>
      <c r="E20" s="522" t="n"/>
      <c r="F20" s="522" t="n"/>
      <c r="G20" s="522" t="n"/>
      <c r="H20" s="522" t="n"/>
      <c r="I20" s="522" t="n"/>
      <c r="J20" s="522" t="n"/>
      <c r="K20" s="522" t="n"/>
      <c r="L20" s="522" t="n"/>
      <c r="M20" s="522" t="n"/>
      <c r="N20" s="522" t="n"/>
      <c r="O20" s="522" t="n"/>
      <c r="P20" s="522" t="n"/>
      <c r="Q20" s="522" t="n"/>
      <c r="R20" s="522" t="n"/>
      <c r="S20" s="522" t="n"/>
      <c r="T20" s="522" t="n"/>
      <c r="U20" s="522" t="n"/>
      <c r="V20" s="522" t="n"/>
      <c r="W20" s="523" t="n"/>
      <c r="X20" s="522" t="n"/>
      <c r="Y20" s="522" t="n"/>
      <c r="Z20" s="522" t="n"/>
      <c r="AA20" s="522" t="n"/>
      <c r="AB20" s="522" t="n"/>
      <c r="AC20" s="522" t="n"/>
    </row>
    <row r="21">
      <c r="A21" s="522" t="n"/>
      <c r="B21" s="522" t="n"/>
      <c r="C21" s="522" t="n"/>
      <c r="D21" s="522" t="n"/>
      <c r="E21" s="522" t="n"/>
      <c r="F21" s="522" t="n"/>
      <c r="G21" s="522" t="n"/>
      <c r="H21" s="522" t="n"/>
      <c r="I21" s="522" t="n"/>
      <c r="J21" s="522" t="n"/>
      <c r="K21" s="522" t="n"/>
      <c r="L21" s="522" t="n"/>
      <c r="M21" s="522" t="n"/>
      <c r="N21" s="522" t="n"/>
      <c r="O21" s="522" t="n"/>
      <c r="P21" s="522" t="n"/>
      <c r="Q21" s="522" t="n"/>
      <c r="R21" s="522" t="n"/>
      <c r="S21" s="522" t="n"/>
      <c r="T21" s="522" t="n"/>
      <c r="U21" s="522" t="n"/>
      <c r="V21" s="522" t="n"/>
      <c r="W21" s="523" t="n"/>
      <c r="X21" s="522" t="n"/>
      <c r="Y21" s="522" t="n"/>
      <c r="Z21" s="522" t="n"/>
      <c r="AA21" s="522" t="n"/>
      <c r="AB21" s="522" t="n"/>
      <c r="AC21" s="522" t="n"/>
    </row>
    <row r="22">
      <c r="A22" s="522" t="n"/>
      <c r="B22" s="522" t="n"/>
      <c r="C22" s="522" t="n"/>
      <c r="D22" s="522" t="n"/>
      <c r="E22" s="522" t="n"/>
      <c r="F22" s="522" t="n"/>
      <c r="G22" s="522" t="n"/>
      <c r="H22" s="522" t="n"/>
      <c r="I22" s="522" t="n"/>
      <c r="J22" s="522" t="n"/>
      <c r="K22" s="522" t="n"/>
      <c r="L22" s="522" t="n"/>
      <c r="M22" s="522" t="n"/>
      <c r="N22" s="522" t="n"/>
      <c r="O22" s="522" t="n"/>
      <c r="P22" s="522" t="n"/>
      <c r="Q22" s="522" t="n"/>
      <c r="R22" s="522" t="n"/>
      <c r="S22" s="522" t="n"/>
      <c r="T22" s="522" t="n"/>
      <c r="U22" s="522" t="n"/>
      <c r="V22" s="522" t="n"/>
      <c r="W22" s="523" t="n"/>
      <c r="X22" s="522" t="n"/>
      <c r="Y22" s="522" t="n"/>
      <c r="Z22" s="522" t="n"/>
      <c r="AA22" s="522" t="n"/>
      <c r="AB22" s="522" t="n"/>
      <c r="AC22" s="522" t="n"/>
    </row>
    <row r="23">
      <c r="A23" s="522" t="n"/>
      <c r="B23" s="522" t="n"/>
      <c r="C23" s="522" t="n"/>
      <c r="D23" s="522" t="n"/>
      <c r="E23" s="522" t="n"/>
      <c r="F23" s="522" t="n"/>
      <c r="G23" s="522" t="n"/>
      <c r="H23" s="522" t="n"/>
      <c r="I23" s="522" t="n"/>
      <c r="J23" s="522" t="n"/>
      <c r="K23" s="522" t="n"/>
      <c r="L23" s="522" t="n"/>
      <c r="M23" s="522" t="n"/>
      <c r="N23" s="522" t="n"/>
      <c r="O23" s="522" t="n"/>
      <c r="P23" s="522" t="n"/>
      <c r="Q23" s="522" t="n"/>
      <c r="R23" s="522" t="n"/>
      <c r="S23" s="522" t="n"/>
      <c r="T23" s="522" t="n"/>
      <c r="U23" s="522" t="n"/>
      <c r="V23" s="522" t="n"/>
      <c r="W23" s="523" t="n"/>
      <c r="X23" s="522" t="n"/>
      <c r="Y23" s="522" t="n"/>
      <c r="Z23" s="522" t="n"/>
      <c r="AA23" s="522" t="n"/>
      <c r="AB23" s="522" t="n"/>
      <c r="AC23" s="522" t="n"/>
    </row>
    <row r="24">
      <c r="A24" s="522" t="n"/>
      <c r="B24" s="522" t="n"/>
      <c r="C24" s="522" t="n"/>
      <c r="D24" s="522" t="n"/>
      <c r="E24" s="522" t="n"/>
      <c r="F24" s="522" t="n"/>
      <c r="G24" s="522" t="n"/>
      <c r="H24" s="522" t="n"/>
      <c r="I24" s="522" t="n"/>
      <c r="J24" s="522" t="n"/>
      <c r="K24" s="522" t="n"/>
      <c r="L24" s="522" t="n"/>
      <c r="M24" s="522" t="n"/>
      <c r="N24" s="522" t="n"/>
      <c r="O24" s="522" t="n"/>
      <c r="P24" s="522" t="n"/>
      <c r="Q24" s="522" t="n"/>
      <c r="R24" s="522" t="n"/>
      <c r="S24" s="522" t="n"/>
      <c r="T24" s="522" t="n"/>
      <c r="U24" s="522" t="n"/>
      <c r="V24" s="522" t="n"/>
      <c r="W24" s="523" t="n"/>
      <c r="X24" s="522" t="n"/>
      <c r="Y24" s="522" t="n"/>
      <c r="Z24" s="522" t="n"/>
      <c r="AA24" s="522" t="n"/>
      <c r="AB24" s="522" t="n"/>
      <c r="AC24" s="522" t="n"/>
    </row>
    <row r="25">
      <c r="A25" s="522" t="n"/>
      <c r="B25" s="522" t="n"/>
      <c r="C25" s="522" t="n"/>
      <c r="D25" s="522" t="n"/>
      <c r="E25" s="522" t="n"/>
      <c r="F25" s="522" t="n"/>
      <c r="G25" s="522" t="n"/>
      <c r="H25" s="522" t="n"/>
      <c r="I25" s="522" t="n"/>
      <c r="J25" s="522" t="n"/>
      <c r="K25" s="522" t="n"/>
      <c r="L25" s="522" t="n"/>
      <c r="M25" s="522" t="n"/>
      <c r="N25" s="522" t="n"/>
      <c r="O25" s="522" t="n"/>
      <c r="P25" s="522" t="n"/>
      <c r="Q25" s="522" t="n"/>
      <c r="R25" s="522" t="n"/>
      <c r="S25" s="522" t="n"/>
      <c r="T25" s="522" t="n"/>
      <c r="U25" s="522" t="n"/>
      <c r="V25" s="522" t="n"/>
      <c r="W25" s="523" t="n"/>
      <c r="X25" s="522" t="n"/>
      <c r="Y25" s="522" t="n"/>
      <c r="Z25" s="522" t="n"/>
      <c r="AA25" s="522" t="n"/>
      <c r="AB25" s="522" t="n"/>
      <c r="AC25" s="522" t="n"/>
    </row>
    <row r="26">
      <c r="A26" s="522" t="n"/>
      <c r="B26" s="522" t="n"/>
      <c r="C26" s="522" t="n"/>
      <c r="D26" s="522" t="n"/>
      <c r="E26" s="522" t="n"/>
      <c r="F26" s="522" t="n"/>
      <c r="G26" s="522" t="n"/>
      <c r="H26" s="522" t="n"/>
      <c r="I26" s="522" t="n"/>
      <c r="J26" s="522" t="n"/>
      <c r="K26" s="522" t="n"/>
      <c r="L26" s="522" t="n"/>
      <c r="M26" s="522" t="n"/>
      <c r="N26" s="522" t="n"/>
      <c r="O26" s="522" t="n"/>
      <c r="P26" s="522" t="n"/>
      <c r="Q26" s="522" t="n"/>
      <c r="R26" s="522" t="n"/>
      <c r="S26" s="522" t="n"/>
      <c r="T26" s="522" t="n"/>
      <c r="U26" s="522" t="n"/>
      <c r="V26" s="522" t="n"/>
      <c r="W26" s="523" t="n"/>
      <c r="X26" s="522" t="n"/>
      <c r="Y26" s="522" t="n"/>
      <c r="Z26" s="522" t="n"/>
      <c r="AA26" s="522" t="n"/>
      <c r="AB26" s="522" t="n"/>
      <c r="AC26" s="522" t="n"/>
    </row>
    <row r="27">
      <c r="A27" s="522" t="n"/>
      <c r="B27" s="522" t="n"/>
      <c r="C27" s="522" t="n"/>
      <c r="D27" s="522" t="n"/>
      <c r="E27" s="522" t="n"/>
      <c r="F27" s="522" t="n"/>
      <c r="G27" s="522" t="n"/>
      <c r="H27" s="522" t="n"/>
      <c r="I27" s="522" t="n"/>
      <c r="J27" s="522" t="n"/>
      <c r="K27" s="522" t="n"/>
      <c r="L27" s="522" t="n"/>
      <c r="M27" s="522" t="n"/>
      <c r="N27" s="522" t="n"/>
      <c r="O27" s="522" t="n"/>
      <c r="P27" s="522" t="n"/>
      <c r="Q27" s="522" t="n"/>
      <c r="R27" s="522" t="n"/>
      <c r="S27" s="522" t="n"/>
      <c r="T27" s="522" t="n"/>
      <c r="U27" s="522" t="n"/>
      <c r="V27" s="522" t="n"/>
      <c r="W27" s="523" t="n"/>
      <c r="X27" s="522" t="n"/>
      <c r="Y27" s="522" t="n"/>
      <c r="Z27" s="522" t="n"/>
      <c r="AA27" s="522" t="n"/>
      <c r="AB27" s="522" t="n"/>
      <c r="AC27" s="522" t="n"/>
    </row>
    <row r="28">
      <c r="A28" s="522" t="n"/>
      <c r="B28" s="522" t="n"/>
      <c r="C28" s="522" t="n"/>
      <c r="D28" s="522" t="n"/>
      <c r="E28" s="522" t="n"/>
      <c r="F28" s="522" t="n"/>
      <c r="G28" s="522" t="n"/>
      <c r="H28" s="522" t="n"/>
      <c r="I28" s="522" t="n"/>
      <c r="J28" s="522" t="n"/>
      <c r="K28" s="522" t="n"/>
      <c r="L28" s="522" t="n"/>
      <c r="M28" s="522" t="n"/>
      <c r="N28" s="522" t="n"/>
      <c r="O28" s="522" t="n"/>
      <c r="P28" s="522" t="n"/>
      <c r="Q28" s="522" t="n"/>
      <c r="R28" s="522" t="n"/>
      <c r="S28" s="522" t="n"/>
      <c r="T28" s="522" t="n"/>
      <c r="U28" s="522" t="n"/>
      <c r="V28" s="522" t="n"/>
      <c r="W28" s="523" t="n"/>
      <c r="X28" s="522" t="n"/>
      <c r="Y28" s="522" t="n"/>
      <c r="Z28" s="522" t="n"/>
      <c r="AA28" s="522" t="n"/>
      <c r="AB28" s="522" t="n"/>
      <c r="AC28" s="522" t="n"/>
    </row>
    <row r="29">
      <c r="A29" s="522" t="n"/>
      <c r="B29" s="522" t="n"/>
      <c r="C29" s="522" t="n"/>
      <c r="D29" s="522" t="n"/>
      <c r="E29" s="522" t="n"/>
      <c r="F29" s="522" t="n"/>
      <c r="G29" s="522" t="n"/>
      <c r="H29" s="522" t="n"/>
      <c r="I29" s="522" t="n"/>
      <c r="J29" s="522" t="n"/>
      <c r="K29" s="522" t="n"/>
      <c r="L29" s="522" t="n"/>
      <c r="M29" s="522" t="n"/>
      <c r="N29" s="522" t="n"/>
      <c r="O29" s="522" t="n"/>
      <c r="P29" s="522" t="n"/>
      <c r="Q29" s="522" t="n"/>
      <c r="R29" s="522" t="n"/>
      <c r="S29" s="522" t="n"/>
      <c r="T29" s="522" t="n"/>
      <c r="U29" s="522" t="n"/>
      <c r="V29" s="522" t="n"/>
      <c r="W29" s="523" t="n"/>
      <c r="X29" s="522" t="n"/>
      <c r="Y29" s="522" t="n"/>
      <c r="Z29" s="522" t="n"/>
      <c r="AA29" s="522" t="n"/>
      <c r="AB29" s="522" t="n"/>
      <c r="AC29" s="522" t="n"/>
    </row>
    <row r="30">
      <c r="A30" s="522" t="n"/>
      <c r="B30" s="522" t="n"/>
      <c r="C30" s="522" t="n"/>
      <c r="D30" s="522" t="n"/>
      <c r="E30" s="522" t="n"/>
      <c r="F30" s="522" t="n"/>
      <c r="G30" s="522" t="n"/>
      <c r="H30" s="522" t="n"/>
      <c r="I30" s="522" t="n"/>
      <c r="J30" s="522" t="n"/>
      <c r="K30" s="522" t="n"/>
      <c r="L30" s="522" t="n"/>
      <c r="M30" s="522" t="n"/>
      <c r="N30" s="522" t="n"/>
      <c r="O30" s="522" t="n"/>
      <c r="P30" s="522" t="n"/>
      <c r="Q30" s="522" t="n"/>
      <c r="R30" s="522" t="n"/>
      <c r="S30" s="522" t="n"/>
      <c r="T30" s="522" t="n"/>
      <c r="U30" s="522" t="n"/>
      <c r="V30" s="522" t="n"/>
      <c r="W30" s="523" t="n"/>
      <c r="X30" s="522" t="n"/>
      <c r="Y30" s="522" t="n"/>
      <c r="Z30" s="522" t="n"/>
      <c r="AA30" s="522" t="n"/>
      <c r="AB30" s="522" t="n"/>
      <c r="AC30" s="522" t="n"/>
    </row>
    <row r="31">
      <c r="A31" s="522" t="n"/>
      <c r="B31" s="522" t="n"/>
      <c r="C31" s="522" t="n"/>
      <c r="D31" s="522" t="n"/>
      <c r="E31" s="522" t="n"/>
      <c r="F31" s="522" t="n"/>
      <c r="G31" s="522" t="n"/>
      <c r="H31" s="522" t="n"/>
      <c r="I31" s="522" t="n"/>
      <c r="J31" s="522" t="n"/>
      <c r="K31" s="522" t="n"/>
      <c r="L31" s="522" t="n"/>
      <c r="M31" s="522" t="n"/>
      <c r="N31" s="522" t="n"/>
      <c r="O31" s="522" t="n"/>
      <c r="P31" s="522" t="n"/>
      <c r="Q31" s="522" t="n"/>
      <c r="R31" s="522" t="n"/>
      <c r="S31" s="522" t="n"/>
      <c r="T31" s="522" t="n"/>
      <c r="U31" s="522" t="n"/>
      <c r="V31" s="522" t="n"/>
      <c r="W31" s="523" t="n"/>
      <c r="X31" s="522" t="n"/>
      <c r="Y31" s="522" t="n"/>
      <c r="Z31" s="522" t="n"/>
      <c r="AA31" s="522" t="n"/>
      <c r="AB31" s="522" t="n"/>
      <c r="AC31" s="522" t="n"/>
    </row>
    <row r="32">
      <c r="A32" s="522" t="n"/>
      <c r="B32" s="522" t="n"/>
      <c r="C32" s="522" t="n"/>
      <c r="D32" s="522" t="n"/>
      <c r="E32" s="522" t="n"/>
      <c r="F32" s="522" t="n"/>
      <c r="G32" s="522" t="n"/>
      <c r="H32" s="522" t="n"/>
      <c r="I32" s="522" t="n"/>
      <c r="J32" s="522" t="n"/>
      <c r="K32" s="522" t="n"/>
      <c r="L32" s="522" t="n"/>
      <c r="M32" s="522" t="n"/>
      <c r="N32" s="522" t="n"/>
      <c r="O32" s="522" t="n"/>
      <c r="P32" s="522" t="n"/>
      <c r="Q32" s="522" t="n"/>
      <c r="R32" s="522" t="n"/>
      <c r="S32" s="522" t="n"/>
      <c r="T32" s="522" t="n"/>
      <c r="U32" s="522" t="n"/>
      <c r="V32" s="522" t="n"/>
      <c r="W32" s="523" t="n"/>
      <c r="X32" s="522" t="n"/>
      <c r="Y32" s="522" t="n"/>
      <c r="Z32" s="522" t="n"/>
      <c r="AA32" s="522" t="n"/>
      <c r="AB32" s="522" t="n"/>
      <c r="AC32" s="522" t="n"/>
    </row>
    <row r="33">
      <c r="A33" s="522" t="n"/>
      <c r="B33" s="522" t="n"/>
      <c r="C33" s="522" t="n"/>
      <c r="D33" s="522" t="n"/>
      <c r="E33" s="522" t="n"/>
      <c r="F33" s="522" t="n"/>
      <c r="G33" s="522" t="n"/>
      <c r="H33" s="522" t="n"/>
      <c r="I33" s="522" t="n"/>
      <c r="J33" s="522" t="n"/>
      <c r="K33" s="522" t="n"/>
      <c r="L33" s="522" t="n"/>
      <c r="M33" s="522" t="n"/>
      <c r="N33" s="522" t="n"/>
      <c r="O33" s="522" t="n"/>
      <c r="P33" s="522" t="n"/>
      <c r="Q33" s="522" t="n"/>
      <c r="R33" s="522" t="n"/>
      <c r="S33" s="522" t="n"/>
      <c r="T33" s="522" t="n"/>
      <c r="U33" s="522" t="n"/>
      <c r="V33" s="522" t="n"/>
      <c r="W33" s="523" t="n"/>
      <c r="X33" s="522" t="n"/>
      <c r="Y33" s="522" t="n"/>
      <c r="Z33" s="522" t="n"/>
      <c r="AA33" s="522" t="n"/>
      <c r="AB33" s="522" t="n"/>
      <c r="AC33" s="522" t="n"/>
    </row>
    <row r="34">
      <c r="A34" s="522" t="n"/>
      <c r="B34" s="522" t="n"/>
      <c r="C34" s="522" t="n"/>
      <c r="D34" s="522" t="n"/>
      <c r="E34" s="522" t="n"/>
      <c r="F34" s="522" t="n"/>
      <c r="G34" s="522" t="n"/>
      <c r="H34" s="522" t="n"/>
      <c r="I34" s="522" t="n"/>
      <c r="J34" s="522" t="n"/>
      <c r="K34" s="522" t="n"/>
      <c r="L34" s="522" t="n"/>
      <c r="M34" s="522" t="n"/>
      <c r="N34" s="522" t="n"/>
      <c r="O34" s="522" t="n"/>
      <c r="P34" s="522" t="n"/>
      <c r="Q34" s="522" t="n"/>
      <c r="R34" s="522" t="n"/>
      <c r="S34" s="522" t="n"/>
      <c r="T34" s="522" t="n"/>
      <c r="U34" s="522" t="n"/>
      <c r="V34" s="522" t="n"/>
      <c r="W34" s="523" t="n"/>
      <c r="X34" s="522" t="n"/>
      <c r="Y34" s="522" t="n"/>
      <c r="Z34" s="522" t="n"/>
      <c r="AA34" s="522" t="n"/>
      <c r="AB34" s="522" t="n"/>
      <c r="AC34" s="522" t="n"/>
    </row>
    <row r="35">
      <c r="A35" s="522" t="n"/>
      <c r="B35" s="522" t="n"/>
      <c r="C35" s="522" t="n"/>
      <c r="D35" s="522" t="n"/>
      <c r="E35" s="522" t="n"/>
      <c r="F35" s="522" t="n"/>
      <c r="G35" s="522" t="n"/>
      <c r="H35" s="522" t="n"/>
      <c r="I35" s="522" t="n"/>
      <c r="J35" s="522" t="n"/>
      <c r="K35" s="522" t="n"/>
      <c r="L35" s="522" t="n"/>
      <c r="M35" s="522" t="n"/>
      <c r="N35" s="522" t="n"/>
      <c r="O35" s="522" t="n"/>
      <c r="P35" s="522" t="n"/>
      <c r="Q35" s="522" t="n"/>
      <c r="R35" s="522" t="n"/>
      <c r="S35" s="522" t="n"/>
      <c r="T35" s="522" t="n"/>
      <c r="U35" s="522" t="n"/>
      <c r="V35" s="522" t="n"/>
      <c r="W35" s="523" t="n"/>
      <c r="X35" s="522" t="n"/>
      <c r="Y35" s="522" t="n"/>
      <c r="Z35" s="522" t="n"/>
      <c r="AA35" s="522" t="n"/>
      <c r="AB35" s="522" t="n"/>
      <c r="AC35" s="522" t="n"/>
    </row>
    <row r="36">
      <c r="A36" s="522" t="n"/>
      <c r="B36" s="522" t="n"/>
      <c r="C36" s="522" t="n"/>
      <c r="D36" s="522" t="n"/>
      <c r="E36" s="522" t="n"/>
      <c r="F36" s="522" t="n"/>
      <c r="G36" s="522" t="n"/>
      <c r="H36" s="522" t="n"/>
      <c r="I36" s="522" t="n"/>
      <c r="J36" s="522" t="n"/>
      <c r="K36" s="522" t="n"/>
      <c r="L36" s="522" t="n"/>
      <c r="M36" s="522" t="n"/>
      <c r="N36" s="522" t="n"/>
      <c r="O36" s="522" t="n"/>
      <c r="P36" s="522" t="n"/>
      <c r="Q36" s="522" t="n"/>
      <c r="R36" s="522" t="n"/>
      <c r="S36" s="522" t="n"/>
      <c r="T36" s="522" t="n"/>
      <c r="U36" s="522" t="n"/>
      <c r="V36" s="522" t="n"/>
      <c r="W36" s="523" t="n"/>
      <c r="X36" s="522" t="n"/>
      <c r="Y36" s="522" t="n"/>
      <c r="Z36" s="522" t="n"/>
      <c r="AA36" s="522" t="n"/>
      <c r="AB36" s="522" t="n"/>
      <c r="AC36" s="522" t="n"/>
    </row>
    <row r="37">
      <c r="A37" s="522" t="n"/>
      <c r="B37" s="522" t="n"/>
      <c r="C37" s="522" t="n"/>
      <c r="D37" s="522" t="n"/>
      <c r="E37" s="522" t="n"/>
      <c r="F37" s="522" t="n"/>
      <c r="G37" s="522" t="n"/>
      <c r="H37" s="522" t="n"/>
      <c r="I37" s="522" t="n"/>
      <c r="J37" s="522" t="n"/>
      <c r="K37" s="522" t="n"/>
      <c r="L37" s="522" t="n"/>
      <c r="M37" s="522" t="n"/>
      <c r="N37" s="522" t="n"/>
      <c r="O37" s="522" t="n"/>
      <c r="P37" s="522" t="n"/>
      <c r="Q37" s="522" t="n"/>
      <c r="R37" s="522" t="n"/>
      <c r="S37" s="522" t="n"/>
      <c r="T37" s="522" t="n"/>
      <c r="U37" s="522" t="n"/>
      <c r="V37" s="522" t="n"/>
      <c r="W37" s="523" t="n"/>
      <c r="X37" s="522" t="n"/>
      <c r="Y37" s="522" t="n"/>
      <c r="Z37" s="522" t="n"/>
      <c r="AA37" s="522" t="n"/>
      <c r="AB37" s="522" t="n"/>
      <c r="AC37" s="522" t="n"/>
    </row>
    <row r="38">
      <c r="A38" s="522" t="n"/>
      <c r="B38" s="522" t="n"/>
      <c r="C38" s="522" t="n"/>
      <c r="D38" s="522" t="n"/>
      <c r="E38" s="522" t="n"/>
      <c r="F38" s="522" t="n"/>
      <c r="G38" s="522" t="n"/>
      <c r="H38" s="522" t="n"/>
      <c r="I38" s="522" t="n"/>
      <c r="J38" s="522" t="n"/>
      <c r="K38" s="522" t="n"/>
      <c r="L38" s="522" t="n"/>
      <c r="M38" s="522" t="n"/>
      <c r="N38" s="522" t="n"/>
      <c r="O38" s="522" t="n"/>
      <c r="P38" s="522" t="n"/>
      <c r="Q38" s="522" t="n"/>
      <c r="R38" s="522" t="n"/>
      <c r="S38" s="522" t="n"/>
      <c r="T38" s="522" t="n"/>
      <c r="U38" s="522" t="n"/>
      <c r="V38" s="522" t="n"/>
      <c r="W38" s="522" t="n"/>
      <c r="X38" s="522" t="n"/>
      <c r="Y38" s="522" t="n"/>
      <c r="Z38" s="522" t="n"/>
      <c r="AA38" s="522" t="n"/>
      <c r="AB38" s="522" t="n"/>
      <c r="AC38" s="522" t="n"/>
    </row>
    <row r="39" ht="15.6" customHeight="1">
      <c r="A39" s="522" t="n"/>
      <c r="B39" s="522" t="n"/>
      <c r="C39" s="522" t="n"/>
      <c r="D39" s="522" t="n"/>
      <c r="E39" s="522" t="n"/>
      <c r="F39" s="522" t="n"/>
      <c r="G39" s="522" t="n"/>
      <c r="H39" s="548" t="n"/>
      <c r="I39" s="522" t="n"/>
      <c r="J39" s="522" t="n"/>
      <c r="K39" s="522" t="n"/>
      <c r="L39" s="522" t="n"/>
      <c r="M39" s="522" t="n"/>
      <c r="N39" s="522" t="n"/>
      <c r="O39" s="522" t="n"/>
      <c r="P39" s="522" t="n"/>
      <c r="Q39" s="522" t="n"/>
      <c r="R39" s="522" t="n"/>
      <c r="S39" s="522" t="n"/>
      <c r="T39" s="522" t="n"/>
      <c r="U39" s="522" t="n"/>
      <c r="V39" s="522" t="n"/>
      <c r="W39" s="522" t="n"/>
      <c r="X39" s="522" t="n"/>
      <c r="Y39" s="522" t="n"/>
      <c r="Z39" s="522" t="n"/>
      <c r="AA39" s="522" t="n"/>
      <c r="AB39" s="522" t="n"/>
      <c r="AC39" s="522" t="n"/>
    </row>
    <row r="40">
      <c r="A40" s="522" t="n"/>
      <c r="B40" s="522" t="n"/>
      <c r="C40" s="522" t="n"/>
      <c r="D40" s="522" t="n"/>
      <c r="E40" s="522" t="n"/>
      <c r="F40" s="522" t="n"/>
      <c r="G40" s="522" t="n"/>
      <c r="H40" s="522" t="n"/>
      <c r="I40" s="522" t="n"/>
      <c r="J40" s="522" t="n"/>
      <c r="K40" s="522" t="n"/>
      <c r="L40" s="522" t="n"/>
      <c r="M40" s="522" t="n"/>
      <c r="N40" s="522" t="n"/>
      <c r="O40" s="522" t="n"/>
      <c r="P40" s="522" t="n"/>
      <c r="Q40" s="522" t="n"/>
      <c r="R40" s="522" t="n"/>
      <c r="S40" s="522" t="n"/>
      <c r="T40" s="522" t="n"/>
      <c r="U40" s="522" t="n"/>
      <c r="V40" s="522" t="n"/>
      <c r="W40" s="522" t="n"/>
      <c r="X40" s="522" t="n"/>
      <c r="Y40" s="522" t="n"/>
      <c r="Z40" s="522" t="n"/>
      <c r="AA40" s="522" t="n"/>
      <c r="AB40" s="522" t="n"/>
      <c r="AC40" s="522" t="n"/>
    </row>
    <row r="41">
      <c r="A41" s="522" t="n"/>
      <c r="B41" s="522" t="n"/>
      <c r="C41" s="522" t="n"/>
      <c r="D41" s="522" t="n"/>
      <c r="E41" s="522" t="n"/>
      <c r="F41" s="522" t="n"/>
      <c r="G41" s="522" t="n"/>
      <c r="H41" s="522" t="n"/>
      <c r="I41" s="522" t="n"/>
      <c r="J41" s="522" t="n"/>
      <c r="K41" s="522" t="n"/>
      <c r="L41" s="522" t="n"/>
      <c r="M41" s="522" t="n"/>
      <c r="N41" s="522" t="n"/>
      <c r="O41" s="522" t="n"/>
      <c r="P41" s="522" t="n"/>
      <c r="Q41" s="522" t="n"/>
      <c r="R41" s="522" t="n"/>
      <c r="S41" s="522" t="n"/>
      <c r="T41" s="522" t="n"/>
      <c r="U41" s="522" t="n"/>
      <c r="V41" s="522" t="n"/>
      <c r="W41" s="522" t="n"/>
      <c r="X41" s="522" t="n"/>
      <c r="Y41" s="522" t="n"/>
      <c r="Z41" s="522" t="n"/>
      <c r="AA41" s="522" t="n"/>
      <c r="AB41" s="522" t="n"/>
      <c r="AC41" s="522" t="n"/>
    </row>
    <row r="42">
      <c r="A42" s="522" t="n"/>
      <c r="B42" s="522" t="n"/>
      <c r="C42" s="522" t="n"/>
      <c r="D42" s="522" t="n"/>
      <c r="E42" s="522" t="n"/>
      <c r="F42" s="522" t="n"/>
      <c r="G42" s="522" t="n"/>
      <c r="H42" s="522" t="n"/>
      <c r="I42" s="522" t="n"/>
      <c r="J42" s="522" t="n"/>
      <c r="K42" s="522" t="n"/>
      <c r="L42" s="522" t="n"/>
      <c r="M42" s="522" t="n"/>
      <c r="N42" s="522" t="n"/>
      <c r="O42" s="522" t="n"/>
      <c r="P42" s="522" t="n"/>
      <c r="Q42" s="522" t="n"/>
      <c r="R42" s="522" t="n"/>
      <c r="S42" s="522" t="n"/>
      <c r="T42" s="522" t="n"/>
      <c r="U42" s="522" t="n"/>
      <c r="V42" s="522" t="n"/>
      <c r="W42" s="522" t="n"/>
      <c r="X42" s="522" t="n"/>
      <c r="Y42" s="522" t="n"/>
      <c r="Z42" s="522" t="n"/>
      <c r="AA42" s="522" t="n"/>
      <c r="AB42" s="522" t="n"/>
      <c r="AC42" s="522" t="n"/>
    </row>
    <row r="43">
      <c r="A43" s="522" t="n"/>
      <c r="B43" s="522" t="n"/>
      <c r="C43" s="522" t="n"/>
      <c r="D43" s="522" t="n"/>
      <c r="E43" s="522" t="n"/>
      <c r="F43" s="522" t="n"/>
      <c r="G43" s="522" t="n"/>
      <c r="H43" s="522" t="n"/>
      <c r="I43" s="522" t="n"/>
      <c r="J43" s="522" t="n"/>
      <c r="K43" s="522" t="n"/>
      <c r="L43" s="522" t="n"/>
      <c r="M43" s="522" t="n"/>
      <c r="N43" s="522" t="n"/>
      <c r="O43" s="522" t="n"/>
      <c r="P43" s="522" t="n"/>
      <c r="Q43" s="522" t="n"/>
      <c r="R43" s="522" t="n"/>
      <c r="S43" s="522" t="n"/>
      <c r="T43" s="522" t="n"/>
      <c r="U43" s="522" t="n"/>
      <c r="V43" s="522" t="n"/>
      <c r="W43" s="522" t="n"/>
      <c r="X43" s="522" t="n"/>
      <c r="Y43" s="522" t="n"/>
      <c r="Z43" s="522" t="n"/>
      <c r="AA43" s="522" t="n"/>
      <c r="AB43" s="522" t="n"/>
      <c r="AC43" s="522" t="n"/>
    </row>
    <row r="44">
      <c r="A44" s="522" t="n"/>
      <c r="B44" s="522" t="n"/>
      <c r="C44" s="522" t="n"/>
      <c r="D44" s="522" t="n"/>
      <c r="E44" s="522" t="n"/>
      <c r="F44" s="522" t="n"/>
      <c r="G44" s="522" t="n"/>
      <c r="H44" s="522" t="n"/>
      <c r="I44" s="522" t="n"/>
      <c r="J44" s="522" t="n"/>
      <c r="K44" s="522" t="n"/>
      <c r="L44" s="522" t="n"/>
      <c r="M44" s="522" t="n"/>
      <c r="N44" s="522" t="n"/>
      <c r="O44" s="522" t="n"/>
      <c r="P44" s="522" t="n"/>
      <c r="Q44" s="522" t="n"/>
      <c r="R44" s="522" t="n"/>
      <c r="S44" s="522" t="n"/>
      <c r="T44" s="522" t="n"/>
      <c r="U44" s="522" t="n"/>
      <c r="V44" s="522" t="n"/>
      <c r="W44" s="522" t="n"/>
      <c r="X44" s="522" t="n"/>
      <c r="Y44" s="522" t="n"/>
      <c r="Z44" s="522" t="n"/>
      <c r="AA44" s="522" t="n"/>
      <c r="AB44" s="522" t="n"/>
      <c r="AC44" s="522" t="n"/>
    </row>
    <row r="45">
      <c r="A45" s="522" t="n"/>
      <c r="B45" s="522" t="n"/>
      <c r="C45" s="522" t="n"/>
      <c r="D45" s="522" t="n"/>
      <c r="E45" s="522" t="n"/>
      <c r="F45" s="522" t="n"/>
      <c r="G45" s="522" t="n"/>
      <c r="H45" s="522" t="n"/>
      <c r="I45" s="522" t="n"/>
      <c r="J45" s="522" t="n"/>
      <c r="K45" s="522" t="n"/>
      <c r="L45" s="522" t="n"/>
      <c r="M45" s="522" t="n"/>
      <c r="N45" s="522" t="n"/>
      <c r="O45" s="522" t="n"/>
      <c r="P45" s="522" t="n"/>
      <c r="Q45" s="522" t="n"/>
      <c r="R45" s="522" t="n"/>
      <c r="S45" s="522" t="n"/>
      <c r="T45" s="522" t="n"/>
      <c r="U45" s="522" t="n"/>
      <c r="V45" s="522" t="n"/>
      <c r="W45" s="522" t="n"/>
      <c r="X45" s="522" t="n"/>
      <c r="Y45" s="522" t="n"/>
      <c r="Z45" s="522" t="n"/>
      <c r="AA45" s="522" t="n"/>
      <c r="AB45" s="522" t="n"/>
      <c r="AC45" s="522" t="n"/>
    </row>
    <row r="46">
      <c r="A46" s="522" t="n"/>
      <c r="B46" s="522" t="n"/>
      <c r="C46" s="522" t="n"/>
      <c r="D46" s="522" t="n"/>
      <c r="E46" s="522" t="n"/>
      <c r="F46" s="522" t="n"/>
      <c r="G46" s="522" t="n"/>
      <c r="H46" s="522" t="n"/>
      <c r="I46" s="522" t="n"/>
      <c r="J46" s="522" t="n"/>
      <c r="K46" s="522" t="n"/>
      <c r="L46" s="522" t="n"/>
      <c r="M46" s="522" t="n"/>
      <c r="N46" s="522" t="n"/>
      <c r="O46" s="522" t="n"/>
      <c r="P46" s="522" t="n"/>
      <c r="Q46" s="522" t="n"/>
      <c r="R46" s="522" t="n"/>
      <c r="S46" s="522" t="n"/>
      <c r="T46" s="522" t="n"/>
      <c r="U46" s="522" t="n"/>
      <c r="V46" s="522" t="n"/>
      <c r="W46" s="522" t="n"/>
      <c r="X46" s="522" t="n"/>
      <c r="Y46" s="522" t="n"/>
      <c r="Z46" s="522" t="n"/>
      <c r="AA46" s="522" t="n"/>
      <c r="AB46" s="522" t="n"/>
      <c r="AC46" s="522" t="n"/>
    </row>
    <row r="47">
      <c r="A47" s="522" t="n"/>
      <c r="B47" s="522" t="n"/>
      <c r="C47" s="522" t="n"/>
      <c r="D47" s="522" t="n"/>
      <c r="E47" s="522" t="n"/>
      <c r="F47" s="522" t="n"/>
      <c r="G47" s="522" t="n"/>
      <c r="H47" s="522" t="n"/>
      <c r="I47" s="522" t="n"/>
      <c r="J47" s="522" t="n"/>
      <c r="K47" s="522" t="n"/>
      <c r="L47" s="522" t="n"/>
      <c r="M47" s="522" t="n"/>
      <c r="N47" s="522" t="n"/>
      <c r="O47" s="522" t="n"/>
      <c r="P47" s="522" t="n"/>
      <c r="Q47" s="522" t="n"/>
      <c r="R47" s="522" t="n"/>
      <c r="S47" s="522" t="n"/>
      <c r="T47" s="522" t="n"/>
      <c r="U47" s="522" t="n"/>
      <c r="V47" s="522" t="n"/>
      <c r="W47" s="522" t="n"/>
      <c r="X47" s="522" t="n"/>
      <c r="Y47" s="522" t="n"/>
      <c r="Z47" s="522" t="n"/>
      <c r="AA47" s="522" t="n"/>
      <c r="AB47" s="522" t="n"/>
      <c r="AC47" s="522" t="n"/>
    </row>
    <row r="48">
      <c r="A48" s="522" t="n"/>
      <c r="B48" s="522" t="n"/>
      <c r="C48" s="522" t="n"/>
      <c r="D48" s="522" t="n"/>
      <c r="E48" s="522" t="n"/>
      <c r="F48" s="522" t="n"/>
      <c r="G48" s="522" t="n"/>
      <c r="H48" s="522" t="n"/>
      <c r="I48" s="522" t="n"/>
      <c r="J48" s="522" t="n"/>
      <c r="K48" s="522" t="n"/>
      <c r="L48" s="522" t="n"/>
      <c r="M48" s="522" t="n"/>
      <c r="N48" s="522" t="n"/>
      <c r="O48" s="522" t="n"/>
      <c r="P48" s="522" t="n"/>
      <c r="Q48" s="522" t="n"/>
      <c r="R48" s="522" t="n"/>
      <c r="S48" s="522" t="n"/>
      <c r="T48" s="522" t="n"/>
      <c r="U48" s="522" t="n"/>
      <c r="V48" s="522" t="n"/>
      <c r="W48" s="522" t="n"/>
      <c r="X48" s="522" t="n"/>
      <c r="Y48" s="522" t="n"/>
      <c r="Z48" s="522" t="n"/>
      <c r="AA48" s="522" t="n"/>
      <c r="AB48" s="522" t="n"/>
      <c r="AC48" s="522" t="n"/>
    </row>
    <row r="49">
      <c r="A49" s="522" t="n"/>
      <c r="B49" s="522" t="n"/>
      <c r="C49" s="522" t="n"/>
      <c r="D49" s="522" t="n"/>
      <c r="E49" s="522" t="n"/>
      <c r="F49" s="522" t="n"/>
      <c r="G49" s="522" t="n"/>
      <c r="H49" s="522" t="n"/>
      <c r="I49" s="522" t="n"/>
      <c r="J49" s="522" t="n"/>
      <c r="K49" s="549" t="n"/>
      <c r="L49" s="522" t="n"/>
      <c r="M49" s="522" t="n"/>
      <c r="N49" s="522" t="n"/>
      <c r="O49" s="522" t="n"/>
      <c r="P49" s="522" t="n"/>
      <c r="Q49" s="522" t="n"/>
      <c r="R49" s="522" t="n"/>
      <c r="S49" s="522" t="n"/>
      <c r="T49" s="522" t="n"/>
      <c r="U49" s="522" t="n"/>
      <c r="V49" s="522" t="n"/>
      <c r="W49" s="522" t="n"/>
      <c r="X49" s="522" t="n"/>
      <c r="Y49" s="522" t="n"/>
      <c r="Z49" s="522" t="n"/>
      <c r="AA49" s="522" t="n"/>
      <c r="AB49" s="522" t="n"/>
      <c r="AC49" s="522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craig</dc:creator>
  <dcterms:created xsi:type="dcterms:W3CDTF">2014-02-03T07:52:37Z</dcterms:created>
  <dcterms:modified xsi:type="dcterms:W3CDTF">2023-09-08T09:45:21Z</dcterms:modified>
  <cp:lastModifiedBy>Training3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0x0101009D39BEE419EEB24A9A4AFF94A5081A5A</vt:lpwstr>
  </property>
</Properties>
</file>