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16768580-20C2-4B0B-BB93-0D6D42D5BBEB}" xr6:coauthVersionLast="47" xr6:coauthVersionMax="47" xr10:uidLastSave="{00000000-0000-0000-0000-000000000000}"/>
  <bookViews>
    <workbookView xWindow="2505" yWindow="2505" windowWidth="20190" windowHeight="16455" activeTab="3" xr2:uid="{00000000-000D-0000-FFFF-FFFF00000000}"/>
  </bookViews>
  <sheets>
    <sheet name="RawData" sheetId="1" r:id="rId1"/>
    <sheet name="Assumptions" sheetId="2" r:id="rId2"/>
    <sheet name="FinancialModel" sheetId="3" r:id="rId3"/>
    <sheet name="Dashbo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J33" i="3" a="1"/>
  <c r="J33" i="3" s="1"/>
  <c r="D33" i="3"/>
  <c r="F33" i="3" s="1" a="1"/>
  <c r="F33" i="3" s="1"/>
  <c r="J32" i="3" a="1"/>
  <c r="J32" i="3"/>
  <c r="D32" i="3"/>
  <c r="L32" i="3" s="1" a="1"/>
  <c r="L32" i="3" s="1"/>
  <c r="J31" i="3" a="1"/>
  <c r="J31" i="3"/>
  <c r="D31" i="3"/>
  <c r="J30" i="3" a="1"/>
  <c r="J30" i="3" s="1"/>
  <c r="D30" i="3"/>
  <c r="E30" i="3" s="1" a="1"/>
  <c r="E30" i="3" s="1"/>
  <c r="J29" i="3" a="1"/>
  <c r="J29" i="3" s="1"/>
  <c r="D29" i="3"/>
  <c r="L29" i="3" s="1" a="1"/>
  <c r="L29" i="3" s="1"/>
  <c r="J28" i="3" a="1"/>
  <c r="J28" i="3" s="1"/>
  <c r="D28" i="3"/>
  <c r="F28" i="3" s="1" a="1"/>
  <c r="F28" i="3" s="1"/>
  <c r="H28" i="3" s="1"/>
  <c r="J27" i="3" a="1"/>
  <c r="J27" i="3" s="1"/>
  <c r="D27" i="3"/>
  <c r="F27" i="3" s="1" a="1"/>
  <c r="F27" i="3" s="1"/>
  <c r="J26" i="3" a="1"/>
  <c r="J26" i="3"/>
  <c r="D26" i="3"/>
  <c r="L26" i="3" s="1" a="1"/>
  <c r="L26" i="3" s="1"/>
  <c r="J25" i="3" a="1"/>
  <c r="J25" i="3"/>
  <c r="D25" i="3"/>
  <c r="F25" i="3" s="1" a="1"/>
  <c r="F25" i="3" s="1"/>
  <c r="J24" i="3" a="1"/>
  <c r="J24" i="3"/>
  <c r="D24" i="3"/>
  <c r="E24" i="3" s="1" a="1"/>
  <c r="E24" i="3" s="1"/>
  <c r="G24" i="3" s="1"/>
  <c r="J23" i="3" a="1"/>
  <c r="J23" i="3"/>
  <c r="D23" i="3"/>
  <c r="F23" i="3" s="1" a="1"/>
  <c r="F23" i="3" s="1"/>
  <c r="J22" i="3" a="1"/>
  <c r="J22" i="3" s="1"/>
  <c r="D22" i="3"/>
  <c r="E22" i="3" s="1" a="1"/>
  <c r="E22" i="3" s="1"/>
  <c r="J21" i="3" a="1"/>
  <c r="J21" i="3"/>
  <c r="D21" i="3"/>
  <c r="L21" i="3" s="1" a="1"/>
  <c r="L21" i="3" s="1"/>
  <c r="J20" i="3" a="1"/>
  <c r="J20" i="3" s="1"/>
  <c r="D20" i="3"/>
  <c r="E20" i="3" s="1" a="1"/>
  <c r="E20" i="3" s="1"/>
  <c r="J19" i="3" a="1"/>
  <c r="J19" i="3"/>
  <c r="D19" i="3"/>
  <c r="F19" i="3" s="1" a="1"/>
  <c r="F19" i="3" s="1"/>
  <c r="H19" i="3" s="1"/>
  <c r="J18" i="3" a="1"/>
  <c r="J18" i="3"/>
  <c r="D18" i="3"/>
  <c r="L18" i="3" s="1" a="1"/>
  <c r="L18" i="3" s="1"/>
  <c r="J17" i="3" a="1"/>
  <c r="J17" i="3" s="1"/>
  <c r="D17" i="3"/>
  <c r="F17" i="3" s="1" a="1"/>
  <c r="F17" i="3" s="1"/>
  <c r="J16" i="3" a="1"/>
  <c r="J16" i="3" s="1"/>
  <c r="D16" i="3"/>
  <c r="L16" i="3" s="1" a="1"/>
  <c r="L16" i="3" s="1"/>
  <c r="J15" i="3" a="1"/>
  <c r="J15" i="3" s="1"/>
  <c r="D15" i="3"/>
  <c r="F15" i="3" s="1" a="1"/>
  <c r="F15" i="3" s="1"/>
  <c r="J14" i="3" a="1"/>
  <c r="J14" i="3"/>
  <c r="D14" i="3"/>
  <c r="E14" i="3" s="1" a="1"/>
  <c r="E14" i="3" s="1"/>
  <c r="G14" i="3" s="1"/>
  <c r="J13" i="3" a="1"/>
  <c r="J13" i="3" s="1"/>
  <c r="D13" i="3"/>
  <c r="L13" i="3" s="1" a="1"/>
  <c r="L13" i="3" s="1"/>
  <c r="J12" i="3" a="1"/>
  <c r="J12" i="3" s="1"/>
  <c r="D12" i="3"/>
  <c r="F12" i="3" s="1" a="1"/>
  <c r="F12" i="3" s="1"/>
  <c r="J11" i="3" a="1"/>
  <c r="J11" i="3" s="1"/>
  <c r="D11" i="3"/>
  <c r="F11" i="3" s="1" a="1"/>
  <c r="F11" i="3" s="1"/>
  <c r="J10" i="3" a="1"/>
  <c r="J10" i="3" s="1"/>
  <c r="D10" i="3"/>
  <c r="D9" i="3"/>
  <c r="F9" i="3" s="1" a="1"/>
  <c r="F9" i="3" s="1"/>
  <c r="D8" i="3"/>
  <c r="D7" i="3"/>
  <c r="D6" i="3"/>
  <c r="E6" i="3" s="1" a="1"/>
  <c r="E6" i="3" s="1"/>
  <c r="D5" i="3"/>
  <c r="E5" i="3" s="1" a="1"/>
  <c r="E5" i="3" s="1"/>
  <c r="D4" i="3"/>
  <c r="F4" i="3" s="1" a="1"/>
  <c r="F4" i="3" s="1"/>
  <c r="D3" i="3"/>
  <c r="D2" i="3"/>
  <c r="F5" i="3" l="1" a="1"/>
  <c r="F5" i="3" s="1"/>
  <c r="G30" i="3"/>
  <c r="L12" i="3" a="1"/>
  <c r="L12" i="3" s="1"/>
  <c r="G22" i="3"/>
  <c r="H15" i="3"/>
  <c r="H23" i="3"/>
  <c r="H25" i="3"/>
  <c r="F30" i="3" a="1"/>
  <c r="F30" i="3" s="1"/>
  <c r="H30" i="3" s="1"/>
  <c r="L6" i="3" a="1"/>
  <c r="L6" i="3" s="1"/>
  <c r="L30" i="3" a="1"/>
  <c r="L30" i="3" s="1"/>
  <c r="E18" i="3" a="1"/>
  <c r="E18" i="3" s="1"/>
  <c r="G18" i="3" s="1"/>
  <c r="K18" i="3" s="1"/>
  <c r="M18" i="3" s="1"/>
  <c r="J6" i="3" a="1"/>
  <c r="J6" i="3" s="1"/>
  <c r="G6" i="3" s="1"/>
  <c r="L20" i="3" a="1"/>
  <c r="L20" i="3" s="1"/>
  <c r="H27" i="3"/>
  <c r="H33" i="3"/>
  <c r="L14" i="3" a="1"/>
  <c r="L14" i="3" s="1"/>
  <c r="L25" i="3" a="1"/>
  <c r="L25" i="3" s="1"/>
  <c r="F32" i="3" a="1"/>
  <c r="F32" i="3" s="1"/>
  <c r="H32" i="3" s="1"/>
  <c r="J4" i="3" a="1"/>
  <c r="J4" i="3" s="1"/>
  <c r="H4" i="3" s="1"/>
  <c r="H11" i="3"/>
  <c r="H17" i="3"/>
  <c r="F18" i="3" a="1"/>
  <c r="F18" i="3" s="1"/>
  <c r="H18" i="3" s="1"/>
  <c r="I18" i="3" s="1"/>
  <c r="F6" i="3" a="1"/>
  <c r="F6" i="3" s="1"/>
  <c r="H6" i="3" s="1"/>
  <c r="F14" i="3" a="1"/>
  <c r="F14" i="3" s="1"/>
  <c r="H14" i="3" s="1"/>
  <c r="I14" i="3" s="1"/>
  <c r="J9" i="3" a="1"/>
  <c r="J9" i="3" s="1"/>
  <c r="H9" i="3" s="1"/>
  <c r="F22" i="3" a="1"/>
  <c r="F22" i="3" s="1"/>
  <c r="H22" i="3" s="1"/>
  <c r="I22" i="3" s="1"/>
  <c r="E32" i="3" a="1"/>
  <c r="E32" i="3" s="1"/>
  <c r="G32" i="3" s="1"/>
  <c r="K32" i="3" s="1"/>
  <c r="M32" i="3" s="1"/>
  <c r="L9" i="3" a="1"/>
  <c r="L9" i="3" s="1"/>
  <c r="F26" i="3" a="1"/>
  <c r="F26" i="3" s="1"/>
  <c r="H26" i="3" s="1"/>
  <c r="L4" i="3" a="1"/>
  <c r="L4" i="3" s="1"/>
  <c r="L19" i="3" a="1"/>
  <c r="L19" i="3" s="1"/>
  <c r="E26" i="3" a="1"/>
  <c r="E26" i="3" s="1"/>
  <c r="G26" i="3" s="1"/>
  <c r="L33" i="3" a="1"/>
  <c r="L33" i="3" s="1"/>
  <c r="G20" i="3"/>
  <c r="L17" i="3" a="1"/>
  <c r="L17" i="3" s="1"/>
  <c r="L22" i="3" a="1"/>
  <c r="L22" i="3" s="1"/>
  <c r="L28" i="3" a="1"/>
  <c r="L28" i="3" s="1"/>
  <c r="K26" i="3"/>
  <c r="M26" i="3" s="1"/>
  <c r="K24" i="3"/>
  <c r="M24" i="3" s="1"/>
  <c r="L3" i="3" a="1"/>
  <c r="L3" i="3" s="1"/>
  <c r="J3" i="3" a="1"/>
  <c r="J3" i="3" s="1"/>
  <c r="F3" i="3" a="1"/>
  <c r="F3" i="3" s="1"/>
  <c r="L10" i="3" a="1"/>
  <c r="L10" i="3" s="1"/>
  <c r="F10" i="3" a="1"/>
  <c r="F10" i="3" s="1"/>
  <c r="H10" i="3" s="1"/>
  <c r="K22" i="3"/>
  <c r="M22" i="3" s="1"/>
  <c r="F31" i="3" a="1"/>
  <c r="F31" i="3" s="1"/>
  <c r="H31" i="3" s="1"/>
  <c r="L31" i="3" a="1"/>
  <c r="L31" i="3" s="1"/>
  <c r="E31" i="3" a="1"/>
  <c r="E31" i="3" s="1"/>
  <c r="G31" i="3" s="1"/>
  <c r="L8" i="3" a="1"/>
  <c r="L8" i="3" s="1"/>
  <c r="J8" i="3" a="1"/>
  <c r="J8" i="3" s="1"/>
  <c r="F8" i="3" a="1"/>
  <c r="F8" i="3" s="1"/>
  <c r="H8" i="3" s="1"/>
  <c r="E8" i="3" a="1"/>
  <c r="E8" i="3" s="1"/>
  <c r="G8" i="3" s="1"/>
  <c r="E3" i="3" a="1"/>
  <c r="E3" i="3" s="1"/>
  <c r="K14" i="3"/>
  <c r="L24" i="3" a="1"/>
  <c r="L24" i="3" s="1"/>
  <c r="F24" i="3" a="1"/>
  <c r="F24" i="3" s="1"/>
  <c r="H24" i="3" s="1"/>
  <c r="I24" i="3" s="1"/>
  <c r="E10" i="3" a="1"/>
  <c r="E10" i="3" s="1"/>
  <c r="G10" i="3" s="1"/>
  <c r="K30" i="3"/>
  <c r="M30" i="3" s="1"/>
  <c r="N30" i="3" s="1"/>
  <c r="I30" i="3"/>
  <c r="E16" i="3" a="1"/>
  <c r="E16" i="3" s="1"/>
  <c r="G16" i="3" s="1"/>
  <c r="F16" i="3" a="1"/>
  <c r="F16" i="3" s="1"/>
  <c r="H16" i="3" s="1"/>
  <c r="L2" i="3" a="1"/>
  <c r="L2" i="3" s="1"/>
  <c r="J2" i="3" a="1"/>
  <c r="J2" i="3" s="1"/>
  <c r="E23" i="3" a="1"/>
  <c r="E23" i="3" s="1"/>
  <c r="G23" i="3" s="1"/>
  <c r="L27" i="3" a="1"/>
  <c r="L27" i="3" s="1"/>
  <c r="E21" i="3" a="1"/>
  <c r="E21" i="3" s="1"/>
  <c r="G21" i="3" s="1"/>
  <c r="E2" i="3" a="1"/>
  <c r="E2" i="3" s="1"/>
  <c r="G2" i="3" s="1"/>
  <c r="J7" i="3" a="1"/>
  <c r="J7" i="3" s="1"/>
  <c r="F7" i="3" a="1"/>
  <c r="F7" i="3" s="1"/>
  <c r="L11" i="3" a="1"/>
  <c r="L11" i="3" s="1"/>
  <c r="E19" i="3" a="1"/>
  <c r="E19" i="3" s="1"/>
  <c r="G19" i="3" s="1"/>
  <c r="F21" i="3" a="1"/>
  <c r="F21" i="3" s="1"/>
  <c r="H21" i="3" s="1"/>
  <c r="L23" i="3" a="1"/>
  <c r="L23" i="3" s="1"/>
  <c r="F2" i="3" a="1"/>
  <c r="F2" i="3" s="1"/>
  <c r="J5" i="3" a="1"/>
  <c r="J5" i="3" s="1"/>
  <c r="G5" i="3" s="1"/>
  <c r="L5" i="3" a="1"/>
  <c r="L5" i="3" s="1"/>
  <c r="E7" i="3" a="1"/>
  <c r="E7" i="3" s="1"/>
  <c r="L7" i="3" a="1"/>
  <c r="L7" i="3" s="1"/>
  <c r="H12" i="3"/>
  <c r="E29" i="3" a="1"/>
  <c r="E29" i="3" s="1"/>
  <c r="G29" i="3" s="1"/>
  <c r="E15" i="3" a="1"/>
  <c r="E15" i="3" s="1"/>
  <c r="G15" i="3" s="1"/>
  <c r="E13" i="3" a="1"/>
  <c r="E13" i="3" s="1"/>
  <c r="G13" i="3" s="1"/>
  <c r="E27" i="3" a="1"/>
  <c r="E27" i="3" s="1"/>
  <c r="G27" i="3" s="1"/>
  <c r="F29" i="3" a="1"/>
  <c r="F29" i="3" s="1"/>
  <c r="H29" i="3" s="1"/>
  <c r="E11" i="3" a="1"/>
  <c r="E11" i="3" s="1"/>
  <c r="G11" i="3" s="1"/>
  <c r="F13" i="3" a="1"/>
  <c r="F13" i="3" s="1"/>
  <c r="H13" i="3" s="1"/>
  <c r="L15" i="3" a="1"/>
  <c r="L15" i="3" s="1"/>
  <c r="K20" i="3"/>
  <c r="M20" i="3" s="1"/>
  <c r="F20" i="3" a="1"/>
  <c r="F20" i="3" s="1"/>
  <c r="H20" i="3" s="1"/>
  <c r="I20" i="3" s="1"/>
  <c r="E9" i="3" a="1"/>
  <c r="E9" i="3" s="1"/>
  <c r="G9" i="3" s="1"/>
  <c r="E17" i="3" a="1"/>
  <c r="E17" i="3" s="1"/>
  <c r="G17" i="3" s="1"/>
  <c r="E25" i="3" a="1"/>
  <c r="E25" i="3" s="1"/>
  <c r="G25" i="3" s="1"/>
  <c r="E33" i="3" a="1"/>
  <c r="E33" i="3" s="1"/>
  <c r="G33" i="3" s="1"/>
  <c r="E4" i="3" a="1"/>
  <c r="E4" i="3" s="1"/>
  <c r="E12" i="3" a="1"/>
  <c r="E12" i="3" s="1"/>
  <c r="G12" i="3" s="1"/>
  <c r="E28" i="3" a="1"/>
  <c r="E28" i="3" s="1"/>
  <c r="G28" i="3" s="1"/>
  <c r="I26" i="3" l="1"/>
  <c r="N32" i="3"/>
  <c r="H3" i="3"/>
  <c r="I32" i="3"/>
  <c r="N22" i="3"/>
  <c r="G3" i="3"/>
  <c r="M14" i="3"/>
  <c r="N14" i="3" s="1"/>
  <c r="H2" i="3"/>
  <c r="N18" i="3"/>
  <c r="G4" i="3"/>
  <c r="N26" i="3"/>
  <c r="H7" i="3"/>
  <c r="K5" i="3"/>
  <c r="M5" i="3" s="1"/>
  <c r="I12" i="3"/>
  <c r="K12" i="3"/>
  <c r="M12" i="3" s="1"/>
  <c r="N12" i="3" s="1"/>
  <c r="I4" i="3"/>
  <c r="K4" i="3"/>
  <c r="M4" i="3" s="1"/>
  <c r="I28" i="3"/>
  <c r="K28" i="3"/>
  <c r="M28" i="3" s="1"/>
  <c r="N28" i="3" s="1"/>
  <c r="K3" i="3"/>
  <c r="M3" i="3" s="1"/>
  <c r="I3" i="3"/>
  <c r="K19" i="3"/>
  <c r="M19" i="3" s="1"/>
  <c r="N19" i="3" s="1"/>
  <c r="I19" i="3"/>
  <c r="K33" i="3"/>
  <c r="M33" i="3" s="1"/>
  <c r="N33" i="3" s="1"/>
  <c r="B14" i="4" s="1"/>
  <c r="I33" i="3"/>
  <c r="K8" i="3"/>
  <c r="M8" i="3" s="1"/>
  <c r="I8" i="3"/>
  <c r="K25" i="3"/>
  <c r="M25" i="3" s="1"/>
  <c r="N25" i="3" s="1"/>
  <c r="B13" i="4" s="1"/>
  <c r="I25" i="3"/>
  <c r="K17" i="3"/>
  <c r="M17" i="3" s="1"/>
  <c r="N17" i="3" s="1"/>
  <c r="B12" i="4" s="1"/>
  <c r="I17" i="3"/>
  <c r="K9" i="3"/>
  <c r="M9" i="3" s="1"/>
  <c r="I9" i="3"/>
  <c r="K2" i="3"/>
  <c r="M2" i="3" s="1"/>
  <c r="I2" i="3"/>
  <c r="K21" i="3"/>
  <c r="M21" i="3" s="1"/>
  <c r="N21" i="3" s="1"/>
  <c r="I21" i="3"/>
  <c r="I31" i="3"/>
  <c r="K31" i="3"/>
  <c r="M31" i="3" s="1"/>
  <c r="N31" i="3" s="1"/>
  <c r="N20" i="3"/>
  <c r="I23" i="3"/>
  <c r="K23" i="3"/>
  <c r="M23" i="3" s="1"/>
  <c r="N23" i="3" s="1"/>
  <c r="K11" i="3"/>
  <c r="M11" i="3" s="1"/>
  <c r="N11" i="3" s="1"/>
  <c r="I11" i="3"/>
  <c r="K16" i="3"/>
  <c r="M16" i="3" s="1"/>
  <c r="N16" i="3" s="1"/>
  <c r="I16" i="3"/>
  <c r="K27" i="3"/>
  <c r="M27" i="3" s="1"/>
  <c r="N27" i="3" s="1"/>
  <c r="I27" i="3"/>
  <c r="K13" i="3"/>
  <c r="M13" i="3" s="1"/>
  <c r="N13" i="3" s="1"/>
  <c r="I13" i="3"/>
  <c r="K15" i="3"/>
  <c r="M15" i="3" s="1"/>
  <c r="N15" i="3" s="1"/>
  <c r="I15" i="3"/>
  <c r="I6" i="3"/>
  <c r="K6" i="3"/>
  <c r="M6" i="3" s="1"/>
  <c r="K29" i="3"/>
  <c r="M29" i="3" s="1"/>
  <c r="N29" i="3" s="1"/>
  <c r="I29" i="3"/>
  <c r="H5" i="3"/>
  <c r="I5" i="3" s="1"/>
  <c r="K10" i="3"/>
  <c r="M10" i="3" s="1"/>
  <c r="N10" i="3" s="1"/>
  <c r="I10" i="3"/>
  <c r="N24" i="3"/>
  <c r="G7" i="3"/>
  <c r="N8" i="3" l="1"/>
  <c r="B37" i="4"/>
  <c r="N2" i="3"/>
  <c r="B31" i="4"/>
  <c r="B38" i="4"/>
  <c r="B6" i="4"/>
  <c r="N9" i="3"/>
  <c r="B35" i="4"/>
  <c r="N6" i="3"/>
  <c r="B32" i="4"/>
  <c r="N3" i="3"/>
  <c r="B33" i="4"/>
  <c r="N4" i="3"/>
  <c r="I7" i="3"/>
  <c r="K7" i="3"/>
  <c r="M7" i="3" s="1"/>
  <c r="N5" i="3"/>
  <c r="B34" i="4"/>
  <c r="B36" i="4" l="1"/>
  <c r="N7" i="3"/>
  <c r="B11" i="4"/>
  <c r="B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<sst xmlns="http://schemas.openxmlformats.org/spreadsheetml/2006/main" count="133" uniqueCount="34">
  <si>
    <t>Park Name</t>
  </si>
  <si>
    <t>Location</t>
  </si>
  <si>
    <t>Year</t>
  </si>
  <si>
    <t>Attendance</t>
  </si>
  <si>
    <t>Universal Studios Japan</t>
  </si>
  <si>
    <t>Osaka, Japan</t>
  </si>
  <si>
    <t>Universal Studios Florida</t>
  </si>
  <si>
    <t>Orlando, FL</t>
  </si>
  <si>
    <t>Islands of Adventure</t>
  </si>
  <si>
    <t>Universal Studios Hollywood</t>
  </si>
  <si>
    <t>Universal City, CA</t>
  </si>
  <si>
    <t>Assumption</t>
  </si>
  <si>
    <t>Base Case</t>
  </si>
  <si>
    <t>Optimistic</t>
  </si>
  <si>
    <t>Worst Case</t>
  </si>
  <si>
    <t>Avg Ticket Price</t>
  </si>
  <si>
    <t>Spend per Visitor</t>
  </si>
  <si>
    <t>FX Rate (JPY→USD)</t>
  </si>
  <si>
    <t>New Park Bonus</t>
  </si>
  <si>
    <t>Select Scenario</t>
  </si>
  <si>
    <t>Select Year</t>
  </si>
  <si>
    <t>Total Attendance:</t>
  </si>
  <si>
    <t>Total Revenue:</t>
  </si>
  <si>
    <t>Adjusted Net Income:</t>
  </si>
  <si>
    <t>Scenario</t>
  </si>
  <si>
    <t>Ticket Price</t>
  </si>
  <si>
    <t>Revenue</t>
  </si>
  <si>
    <t>Expenses</t>
  </si>
  <si>
    <t>Net Income</t>
  </si>
  <si>
    <t>FX Rate</t>
  </si>
  <si>
    <t>FX Revenue</t>
  </si>
  <si>
    <t>Total Revenue</t>
  </si>
  <si>
    <t>Adjusted Net Income</t>
  </si>
  <si>
    <t>KPI 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</si>
</sst>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Adjusted Net Income by Park (Selected Year)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Adjusted Net Income by Park</c:v>
          </c:tx>
          <c:invertIfNegative val="0"/>
          <c:cat>
            <c:strRef>
              <c:f>Dashboard!$A$11:$A$14</c:f>
              <c:strCache>
                <c:ptCount val="4"/>
                <c:pt idx="0">
                  <c:v>Universal Studios Japan</c:v>
                </c:pt>
                <c:pt idx="1">
                  <c:v>Universal Studios Florida</c:v>
                </c:pt>
                <c:pt idx="2">
                  <c:v>Islands of Adventure</c:v>
                </c:pt>
                <c:pt idx="3">
                  <c:v>Universal Studios Hollywood</c:v>
                </c:pt>
              </c:strCache>
            </c:strRef>
          </c:cat>
          <c:val>
            <c:numRef>
              <c:f>Dashboard!$B$11:$B$14</c:f>
              <c:numCache>
                <c:formatCode>General</c:formatCode>
                <c:ptCount val="4"/>
                <c:pt idx="0">
                  <c:v>1962500</c:v>
                </c:pt>
                <c:pt idx="1">
                  <c:v>156500000</c:v>
                </c:pt>
                <c:pt idx="2">
                  <c:v>147500000</c:v>
                </c:pt>
                <c:pt idx="3">
                  <c:v>135500000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4-49A1-B0D1-34C2DFA67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Park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 Income (USD)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Revenue Trend (2016–2023)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Revenue Over Time</c:v>
          </c:tx>
          <c:marker>
            <c:symbol val="none"/>
          </c:marker>
          <c:cat>
            <c:numRef>
              <c:f>Dashboard!$A$31:$A$38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numCache>
            </c:numRef>
          </c:cat>
          <c:val>
            <c:numRef>
              <c:f>Dashboard!$B$31:$B$38</c:f>
              <c:numCache>
                <c:formatCode>General</c:formatCode>
                <c:ptCount val="8"/>
                <c:pt idx="0">
                  <c:v>1840872750</c:v>
                </c:pt>
                <c:pt idx="1">
                  <c:v>1873626250</c:v>
                </c:pt>
                <c:pt idx="2">
                  <c:v>1906337500</c:v>
                </c:pt>
                <c:pt idx="3">
                  <c:v>1794908000</c:v>
                </c:pt>
                <c:pt idx="4">
                  <c:v>849535000</c:v>
                </c:pt>
                <c:pt idx="5">
                  <c:v>1968592875</c:v>
                </c:pt>
                <c:pt idx="6">
                  <c:v>2016837500</c:v>
                </c:pt>
                <c:pt idx="7">
                  <c:v>1920410000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A-4CF1-8E18-C24D1908F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 (USD)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10</xdr:col>
      <xdr:colOff>304800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619124</xdr:colOff>
      <xdr:row>9</xdr:row>
      <xdr:rowOff>0</xdr:rowOff>
    </xdr:from>
    <xdr:to>
      <xdr:col>20</xdr:col>
      <xdr:colOff>152399</xdr:colOff>
      <xdr:row>26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3.5" x14ac:dyDescent="0.15"/>
  <cols>
    <col min="1" max="1" width="30.5" bestFit="1" customWidth="1"/>
    <col min="2" max="2" width="20.5" bestFit="1" customWidth="1"/>
    <col min="3" max="3" width="5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2016</v>
      </c>
      <c r="D2">
        <v>13900000</v>
      </c>
    </row>
    <row r="3" spans="1:4" x14ac:dyDescent="0.15">
      <c r="A3" t="s">
        <v>4</v>
      </c>
      <c r="B3" t="s">
        <v>5</v>
      </c>
      <c r="C3">
        <v>2017</v>
      </c>
      <c r="D3">
        <v>14500000</v>
      </c>
    </row>
    <row r="4" spans="1:4" x14ac:dyDescent="0.15">
      <c r="A4" t="s">
        <v>4</v>
      </c>
      <c r="B4" t="s">
        <v>5</v>
      </c>
      <c r="C4">
        <v>2018</v>
      </c>
      <c r="D4">
        <v>15000000</v>
      </c>
    </row>
    <row r="5" spans="1:4" x14ac:dyDescent="0.15">
      <c r="A5" t="s">
        <v>4</v>
      </c>
      <c r="B5" t="s">
        <v>5</v>
      </c>
      <c r="C5">
        <v>2019</v>
      </c>
      <c r="D5">
        <v>12800000</v>
      </c>
    </row>
    <row r="6" spans="1:4" x14ac:dyDescent="0.15">
      <c r="A6" t="s">
        <v>4</v>
      </c>
      <c r="B6" t="s">
        <v>5</v>
      </c>
      <c r="C6">
        <v>2020</v>
      </c>
      <c r="D6">
        <v>6000000</v>
      </c>
    </row>
    <row r="7" spans="1:4" x14ac:dyDescent="0.15">
      <c r="A7" t="s">
        <v>4</v>
      </c>
      <c r="B7" t="s">
        <v>5</v>
      </c>
      <c r="C7">
        <v>2021</v>
      </c>
      <c r="D7">
        <v>12350000</v>
      </c>
    </row>
    <row r="8" spans="1:4" x14ac:dyDescent="0.15">
      <c r="A8" t="s">
        <v>4</v>
      </c>
      <c r="B8" t="s">
        <v>5</v>
      </c>
      <c r="C8">
        <v>2022</v>
      </c>
      <c r="D8">
        <v>15000000</v>
      </c>
    </row>
    <row r="9" spans="1:4" x14ac:dyDescent="0.15">
      <c r="A9" t="s">
        <v>4</v>
      </c>
      <c r="B9" t="s">
        <v>5</v>
      </c>
      <c r="C9">
        <v>2023</v>
      </c>
      <c r="D9">
        <v>16000000</v>
      </c>
    </row>
    <row r="10" spans="1:4" x14ac:dyDescent="0.15">
      <c r="A10" t="s">
        <v>6</v>
      </c>
      <c r="B10" t="s">
        <v>7</v>
      </c>
      <c r="C10">
        <v>2016</v>
      </c>
      <c r="D10">
        <v>10000000</v>
      </c>
    </row>
    <row r="11" spans="1:4" x14ac:dyDescent="0.15">
      <c r="A11" t="s">
        <v>6</v>
      </c>
      <c r="B11" t="s">
        <v>7</v>
      </c>
      <c r="C11">
        <v>2017</v>
      </c>
      <c r="D11">
        <v>10200000</v>
      </c>
    </row>
    <row r="12" spans="1:4" x14ac:dyDescent="0.15">
      <c r="A12" t="s">
        <v>6</v>
      </c>
      <c r="B12" t="s">
        <v>7</v>
      </c>
      <c r="C12">
        <v>2018</v>
      </c>
      <c r="D12">
        <v>10400000</v>
      </c>
    </row>
    <row r="13" spans="1:4" x14ac:dyDescent="0.15">
      <c r="A13" t="s">
        <v>6</v>
      </c>
      <c r="B13" t="s">
        <v>7</v>
      </c>
      <c r="C13">
        <v>2019</v>
      </c>
      <c r="D13">
        <v>9500000</v>
      </c>
    </row>
    <row r="14" spans="1:4" x14ac:dyDescent="0.15">
      <c r="A14" t="s">
        <v>6</v>
      </c>
      <c r="B14" t="s">
        <v>7</v>
      </c>
      <c r="C14">
        <v>2020</v>
      </c>
      <c r="D14">
        <v>4500000</v>
      </c>
    </row>
    <row r="15" spans="1:4" x14ac:dyDescent="0.15">
      <c r="A15" t="s">
        <v>6</v>
      </c>
      <c r="B15" t="s">
        <v>7</v>
      </c>
      <c r="C15">
        <v>2021</v>
      </c>
      <c r="D15">
        <v>10750000</v>
      </c>
    </row>
    <row r="16" spans="1:4" x14ac:dyDescent="0.15">
      <c r="A16" t="s">
        <v>6</v>
      </c>
      <c r="B16" t="s">
        <v>7</v>
      </c>
      <c r="C16">
        <v>2022</v>
      </c>
      <c r="D16">
        <v>11000000</v>
      </c>
    </row>
    <row r="17" spans="1:4" x14ac:dyDescent="0.15">
      <c r="A17" t="s">
        <v>6</v>
      </c>
      <c r="B17" t="s">
        <v>7</v>
      </c>
      <c r="C17">
        <v>2023</v>
      </c>
      <c r="D17">
        <v>9750000</v>
      </c>
    </row>
    <row r="18" spans="1:4" x14ac:dyDescent="0.15">
      <c r="A18" t="s">
        <v>8</v>
      </c>
      <c r="B18" t="s">
        <v>7</v>
      </c>
      <c r="C18">
        <v>2016</v>
      </c>
      <c r="D18">
        <v>9500000</v>
      </c>
    </row>
    <row r="19" spans="1:4" x14ac:dyDescent="0.15">
      <c r="A19" t="s">
        <v>8</v>
      </c>
      <c r="B19" t="s">
        <v>7</v>
      </c>
      <c r="C19">
        <v>2017</v>
      </c>
      <c r="D19">
        <v>9700000</v>
      </c>
    </row>
    <row r="20" spans="1:4" x14ac:dyDescent="0.15">
      <c r="A20" t="s">
        <v>8</v>
      </c>
      <c r="B20" t="s">
        <v>7</v>
      </c>
      <c r="C20">
        <v>2018</v>
      </c>
      <c r="D20">
        <v>9800000</v>
      </c>
    </row>
    <row r="21" spans="1:4" x14ac:dyDescent="0.15">
      <c r="A21" t="s">
        <v>8</v>
      </c>
      <c r="B21" t="s">
        <v>7</v>
      </c>
      <c r="C21">
        <v>2019</v>
      </c>
      <c r="D21">
        <v>9400000</v>
      </c>
    </row>
    <row r="22" spans="1:4" x14ac:dyDescent="0.15">
      <c r="A22" t="s">
        <v>8</v>
      </c>
      <c r="B22" t="s">
        <v>7</v>
      </c>
      <c r="C22">
        <v>2020</v>
      </c>
      <c r="D22">
        <v>4300000</v>
      </c>
    </row>
    <row r="23" spans="1:4" x14ac:dyDescent="0.15">
      <c r="A23" t="s">
        <v>8</v>
      </c>
      <c r="B23" t="s">
        <v>7</v>
      </c>
      <c r="C23">
        <v>2021</v>
      </c>
      <c r="D23">
        <v>11025000</v>
      </c>
    </row>
    <row r="24" spans="1:4" x14ac:dyDescent="0.15">
      <c r="A24" t="s">
        <v>8</v>
      </c>
      <c r="B24" t="s">
        <v>7</v>
      </c>
      <c r="C24">
        <v>2022</v>
      </c>
      <c r="D24">
        <v>10800000</v>
      </c>
    </row>
    <row r="25" spans="1:4" x14ac:dyDescent="0.15">
      <c r="A25" t="s">
        <v>8</v>
      </c>
      <c r="B25" t="s">
        <v>7</v>
      </c>
      <c r="C25">
        <v>2023</v>
      </c>
      <c r="D25">
        <v>10000000</v>
      </c>
    </row>
    <row r="26" spans="1:4" x14ac:dyDescent="0.15">
      <c r="A26" t="s">
        <v>9</v>
      </c>
      <c r="B26" t="s">
        <v>10</v>
      </c>
      <c r="C26">
        <v>2016</v>
      </c>
      <c r="D26">
        <v>8700000</v>
      </c>
    </row>
    <row r="27" spans="1:4" x14ac:dyDescent="0.15">
      <c r="A27" t="s">
        <v>9</v>
      </c>
      <c r="B27" t="s">
        <v>10</v>
      </c>
      <c r="C27">
        <v>2017</v>
      </c>
      <c r="D27">
        <v>8800000</v>
      </c>
    </row>
    <row r="28" spans="1:4" x14ac:dyDescent="0.15">
      <c r="A28" t="s">
        <v>9</v>
      </c>
      <c r="B28" t="s">
        <v>10</v>
      </c>
      <c r="C28">
        <v>2018</v>
      </c>
      <c r="D28">
        <v>9000000</v>
      </c>
    </row>
    <row r="29" spans="1:4" x14ac:dyDescent="0.15">
      <c r="A29" t="s">
        <v>9</v>
      </c>
      <c r="B29" t="s">
        <v>10</v>
      </c>
      <c r="C29">
        <v>2019</v>
      </c>
      <c r="D29">
        <v>8600000</v>
      </c>
    </row>
    <row r="30" spans="1:4" x14ac:dyDescent="0.15">
      <c r="A30" t="s">
        <v>9</v>
      </c>
      <c r="B30" t="s">
        <v>10</v>
      </c>
      <c r="C30">
        <v>2020</v>
      </c>
      <c r="D30">
        <v>4200000</v>
      </c>
    </row>
    <row r="31" spans="1:4" x14ac:dyDescent="0.15">
      <c r="A31" t="s">
        <v>9</v>
      </c>
      <c r="B31" t="s">
        <v>10</v>
      </c>
      <c r="C31">
        <v>2021</v>
      </c>
      <c r="D31">
        <v>8400000</v>
      </c>
    </row>
    <row r="32" spans="1:4" x14ac:dyDescent="0.15">
      <c r="A32" t="s">
        <v>9</v>
      </c>
      <c r="B32" t="s">
        <v>10</v>
      </c>
      <c r="C32">
        <v>2022</v>
      </c>
      <c r="D32">
        <v>9100000</v>
      </c>
    </row>
    <row r="33" spans="1:4" x14ac:dyDescent="0.15">
      <c r="A33" t="s">
        <v>9</v>
      </c>
      <c r="B33" t="s">
        <v>10</v>
      </c>
      <c r="C33">
        <v>2023</v>
      </c>
      <c r="D33">
        <v>9660000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3.5" x14ac:dyDescent="0.15"/>
  <cols>
    <col min="1" max="1" width="20.375" bestFit="1" customWidth="1"/>
    <col min="2" max="2" width="10.5" bestFit="1" customWidth="1"/>
    <col min="3" max="4" width="11.625" bestFit="1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15</v>
      </c>
      <c r="B2">
        <v>75</v>
      </c>
      <c r="C2">
        <v>85</v>
      </c>
      <c r="D2">
        <v>65</v>
      </c>
    </row>
    <row r="3" spans="1:4" x14ac:dyDescent="0.15">
      <c r="A3" t="s">
        <v>16</v>
      </c>
      <c r="B3">
        <v>55</v>
      </c>
      <c r="C3">
        <v>60</v>
      </c>
      <c r="D3">
        <v>50</v>
      </c>
    </row>
    <row r="4" spans="1:4" x14ac:dyDescent="0.15">
      <c r="A4" t="s">
        <v>17</v>
      </c>
      <c r="B4">
        <v>6.8999999999999999E-3</v>
      </c>
      <c r="C4">
        <v>7.3000000000000001E-3</v>
      </c>
      <c r="D4">
        <v>6.4999999999999997E-3</v>
      </c>
    </row>
    <row r="5" spans="1:4" x14ac:dyDescent="0.15">
      <c r="A5" t="s">
        <v>18</v>
      </c>
      <c r="B5">
        <v>1000000</v>
      </c>
      <c r="C5">
        <v>2000000</v>
      </c>
      <c r="D5">
        <v>500000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workbookViewId="0">
      <selection activeCell="M1" sqref="M1:M1048576"/>
    </sheetView>
  </sheetViews>
  <sheetFormatPr defaultRowHeight="13.5" x14ac:dyDescent="0.15"/>
  <cols>
    <col min="1" max="1" width="30.5" bestFit="1" customWidth="1"/>
    <col min="2" max="2" width="5.5" bestFit="1" customWidth="1"/>
    <col min="3" max="4" width="11.625" bestFit="1" customWidth="1"/>
    <col min="5" max="5" width="13.875" bestFit="1" customWidth="1"/>
    <col min="6" max="6" width="19.375" bestFit="1" customWidth="1"/>
    <col min="7" max="8" width="10.5" bestFit="1" customWidth="1"/>
    <col min="9" max="9" width="11.625" bestFit="1" customWidth="1"/>
    <col min="10" max="10" width="8.5" bestFit="1" customWidth="1"/>
    <col min="11" max="11" width="11.625" bestFit="1" customWidth="1"/>
    <col min="12" max="12" width="16.125" bestFit="1" customWidth="1"/>
    <col min="13" max="13" width="15" bestFit="1" customWidth="1"/>
    <col min="14" max="14" width="21.625" bestFit="1" customWidth="1"/>
  </cols>
  <sheetData>
    <row r="1" spans="1:14" x14ac:dyDescent="0.15">
      <c r="A1" t="s">
        <v>0</v>
      </c>
      <c r="B1" t="s">
        <v>2</v>
      </c>
      <c r="C1" t="s">
        <v>3</v>
      </c>
      <c r="D1" t="s">
        <v>24</v>
      </c>
      <c r="E1" t="s">
        <v>25</v>
      </c>
      <c r="F1" t="s">
        <v>16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18</v>
      </c>
      <c r="M1" t="s">
        <v>31</v>
      </c>
      <c r="N1" t="s">
        <v>32</v>
      </c>
    </row>
    <row r="2" spans="1:14" x14ac:dyDescent="0.15">
      <c r="A2" t="s">
        <v>4</v>
      </c>
      <c r="B2">
        <v>2016</v>
      </c>
      <c r="C2">
        <v>13900000</v>
      </c>
      <c r="D2" t="str">
        <f>Dashboard!$B$1</f>
        <v>Worst Case</v>
      </c>
      <c r="E2" cm="1">
        <f t="array" ref="E2">_xlfn.XLOOKUP(D2, Assumptions!$B$1:$D$1, Assumptions!$B$2:$D$2)</f>
        <v>65</v>
      </c>
      <c r="F2" cm="1">
        <f t="array" ref="F2">_xlfn.XLOOKUP(D2, Assumptions!$B$1:$D$1, Assumptions!$B$3:$D$3)</f>
        <v>50</v>
      </c>
      <c r="G2">
        <f t="shared" ref="G2:G33" si="0">C2*E2*J2</f>
        <v>5872750</v>
      </c>
      <c r="H2">
        <f t="shared" ref="H2:H33" si="1">C2*F2*J2</f>
        <v>4517500</v>
      </c>
      <c r="I2">
        <f t="shared" ref="I2:I33" si="2">G2-H2</f>
        <v>1355250</v>
      </c>
      <c r="J2" cm="1">
        <f t="array" ref="J2">IF(A2="Universal Studios Japan", _xlfn.XLOOKUP(D2, Assumptions!$B$1:$D$1, Assumptions!$B$4:$D$4), 1)</f>
        <v>6.4999999999999997E-3</v>
      </c>
      <c r="K2">
        <f t="shared" ref="K2:K33" si="3">G2</f>
        <v>5872750</v>
      </c>
      <c r="L2" cm="1">
        <f t="array" ref="L2">_xlfn.XLOOKUP(D2, Assumptions!$B$1:$D$1, Assumptions!$B$5:$D$5)</f>
        <v>500000</v>
      </c>
      <c r="M2">
        <f t="shared" ref="M2:M33" si="4">K2+L2</f>
        <v>6372750</v>
      </c>
      <c r="N2">
        <f t="shared" ref="N2:N33" si="5">M2-H2</f>
        <v>1855250</v>
      </c>
    </row>
    <row r="3" spans="1:14" x14ac:dyDescent="0.15">
      <c r="A3" t="s">
        <v>4</v>
      </c>
      <c r="B3">
        <v>2017</v>
      </c>
      <c r="C3">
        <v>14500000</v>
      </c>
      <c r="D3" t="str">
        <f>Dashboard!$B$1</f>
        <v>Worst Case</v>
      </c>
      <c r="E3" cm="1">
        <f t="array" ref="E3">_xlfn.XLOOKUP(D3, Assumptions!$B$1:$D$1, Assumptions!$B$2:$D$2)</f>
        <v>65</v>
      </c>
      <c r="F3" cm="1">
        <f t="array" ref="F3">_xlfn.XLOOKUP(D3, Assumptions!$B$1:$D$1, Assumptions!$B$3:$D$3)</f>
        <v>50</v>
      </c>
      <c r="G3">
        <f t="shared" si="0"/>
        <v>6126250</v>
      </c>
      <c r="H3">
        <f t="shared" si="1"/>
        <v>4712500</v>
      </c>
      <c r="I3">
        <f t="shared" si="2"/>
        <v>1413750</v>
      </c>
      <c r="J3" cm="1">
        <f t="array" ref="J3">IF(A3="Universal Studios Japan", _xlfn.XLOOKUP(D3, Assumptions!$B$1:$D$1, Assumptions!$B$4:$D$4), 1)</f>
        <v>6.4999999999999997E-3</v>
      </c>
      <c r="K3">
        <f t="shared" si="3"/>
        <v>6126250</v>
      </c>
      <c r="L3" cm="1">
        <f t="array" ref="L3">_xlfn.XLOOKUP(D3, Assumptions!$B$1:$D$1, Assumptions!$B$5:$D$5)</f>
        <v>500000</v>
      </c>
      <c r="M3">
        <f t="shared" si="4"/>
        <v>6626250</v>
      </c>
      <c r="N3">
        <f t="shared" si="5"/>
        <v>1913750</v>
      </c>
    </row>
    <row r="4" spans="1:14" x14ac:dyDescent="0.15">
      <c r="A4" t="s">
        <v>4</v>
      </c>
      <c r="B4">
        <v>2018</v>
      </c>
      <c r="C4">
        <v>15000000</v>
      </c>
      <c r="D4" t="str">
        <f>Dashboard!$B$1</f>
        <v>Worst Case</v>
      </c>
      <c r="E4" cm="1">
        <f t="array" ref="E4">_xlfn.XLOOKUP(D4, Assumptions!$B$1:$D$1, Assumptions!$B$2:$D$2)</f>
        <v>65</v>
      </c>
      <c r="F4" cm="1">
        <f t="array" ref="F4">_xlfn.XLOOKUP(D4, Assumptions!$B$1:$D$1, Assumptions!$B$3:$D$3)</f>
        <v>50</v>
      </c>
      <c r="G4">
        <f t="shared" si="0"/>
        <v>6337500</v>
      </c>
      <c r="H4">
        <f t="shared" si="1"/>
        <v>4875000</v>
      </c>
      <c r="I4">
        <f t="shared" si="2"/>
        <v>1462500</v>
      </c>
      <c r="J4" cm="1">
        <f t="array" ref="J4">IF(A4="Universal Studios Japan", _xlfn.XLOOKUP(D4, Assumptions!$B$1:$D$1, Assumptions!$B$4:$D$4), 1)</f>
        <v>6.4999999999999997E-3</v>
      </c>
      <c r="K4">
        <f t="shared" si="3"/>
        <v>6337500</v>
      </c>
      <c r="L4" cm="1">
        <f t="array" ref="L4">_xlfn.XLOOKUP(D4, Assumptions!$B$1:$D$1, Assumptions!$B$5:$D$5)</f>
        <v>500000</v>
      </c>
      <c r="M4">
        <f t="shared" si="4"/>
        <v>6837500</v>
      </c>
      <c r="N4">
        <f t="shared" si="5"/>
        <v>1962500</v>
      </c>
    </row>
    <row r="5" spans="1:14" x14ac:dyDescent="0.15">
      <c r="A5" t="s">
        <v>4</v>
      </c>
      <c r="B5">
        <v>2019</v>
      </c>
      <c r="C5">
        <v>12800000</v>
      </c>
      <c r="D5" t="str">
        <f>Dashboard!$B$1</f>
        <v>Worst Case</v>
      </c>
      <c r="E5" cm="1">
        <f t="array" ref="E5">_xlfn.XLOOKUP(D5, Assumptions!$B$1:$D$1, Assumptions!$B$2:$D$2)</f>
        <v>65</v>
      </c>
      <c r="F5" cm="1">
        <f t="array" ref="F5">_xlfn.XLOOKUP(D5, Assumptions!$B$1:$D$1, Assumptions!$B$3:$D$3)</f>
        <v>50</v>
      </c>
      <c r="G5">
        <f t="shared" si="0"/>
        <v>5408000</v>
      </c>
      <c r="H5">
        <f t="shared" si="1"/>
        <v>4160000</v>
      </c>
      <c r="I5">
        <f t="shared" si="2"/>
        <v>1248000</v>
      </c>
      <c r="J5" cm="1">
        <f t="array" ref="J5">IF(A5="Universal Studios Japan", _xlfn.XLOOKUP(D5, Assumptions!$B$1:$D$1, Assumptions!$B$4:$D$4), 1)</f>
        <v>6.4999999999999997E-3</v>
      </c>
      <c r="K5">
        <f t="shared" si="3"/>
        <v>5408000</v>
      </c>
      <c r="L5" cm="1">
        <f t="array" ref="L5">_xlfn.XLOOKUP(D5, Assumptions!$B$1:$D$1, Assumptions!$B$5:$D$5)</f>
        <v>500000</v>
      </c>
      <c r="M5">
        <f t="shared" si="4"/>
        <v>5908000</v>
      </c>
      <c r="N5">
        <f t="shared" si="5"/>
        <v>1748000</v>
      </c>
    </row>
    <row r="6" spans="1:14" x14ac:dyDescent="0.15">
      <c r="A6" t="s">
        <v>4</v>
      </c>
      <c r="B6">
        <v>2020</v>
      </c>
      <c r="C6">
        <v>6000000</v>
      </c>
      <c r="D6" t="str">
        <f>Dashboard!$B$1</f>
        <v>Worst Case</v>
      </c>
      <c r="E6" cm="1">
        <f t="array" ref="E6">_xlfn.XLOOKUP(D6, Assumptions!$B$1:$D$1, Assumptions!$B$2:$D$2)</f>
        <v>65</v>
      </c>
      <c r="F6" cm="1">
        <f t="array" ref="F6">_xlfn.XLOOKUP(D6, Assumptions!$B$1:$D$1, Assumptions!$B$3:$D$3)</f>
        <v>50</v>
      </c>
      <c r="G6">
        <f t="shared" si="0"/>
        <v>2535000</v>
      </c>
      <c r="H6">
        <f t="shared" si="1"/>
        <v>1950000</v>
      </c>
      <c r="I6">
        <f t="shared" si="2"/>
        <v>585000</v>
      </c>
      <c r="J6" cm="1">
        <f t="array" ref="J6">IF(A6="Universal Studios Japan", _xlfn.XLOOKUP(D6, Assumptions!$B$1:$D$1, Assumptions!$B$4:$D$4), 1)</f>
        <v>6.4999999999999997E-3</v>
      </c>
      <c r="K6">
        <f t="shared" si="3"/>
        <v>2535000</v>
      </c>
      <c r="L6" cm="1">
        <f t="array" ref="L6">_xlfn.XLOOKUP(D6, Assumptions!$B$1:$D$1, Assumptions!$B$5:$D$5)</f>
        <v>500000</v>
      </c>
      <c r="M6">
        <f t="shared" si="4"/>
        <v>3035000</v>
      </c>
      <c r="N6">
        <f t="shared" si="5"/>
        <v>1085000</v>
      </c>
    </row>
    <row r="7" spans="1:14" x14ac:dyDescent="0.15">
      <c r="A7" t="s">
        <v>4</v>
      </c>
      <c r="B7">
        <v>2021</v>
      </c>
      <c r="C7">
        <v>12350000</v>
      </c>
      <c r="D7" t="str">
        <f>Dashboard!$B$1</f>
        <v>Worst Case</v>
      </c>
      <c r="E7" cm="1">
        <f t="array" ref="E7">_xlfn.XLOOKUP(D7, Assumptions!$B$1:$D$1, Assumptions!$B$2:$D$2)</f>
        <v>65</v>
      </c>
      <c r="F7" cm="1">
        <f t="array" ref="F7">_xlfn.XLOOKUP(D7, Assumptions!$B$1:$D$1, Assumptions!$B$3:$D$3)</f>
        <v>50</v>
      </c>
      <c r="G7">
        <f t="shared" si="0"/>
        <v>5217875</v>
      </c>
      <c r="H7">
        <f t="shared" si="1"/>
        <v>4013750</v>
      </c>
      <c r="I7">
        <f t="shared" si="2"/>
        <v>1204125</v>
      </c>
      <c r="J7" cm="1">
        <f t="array" ref="J7">IF(A7="Universal Studios Japan", _xlfn.XLOOKUP(D7, Assumptions!$B$1:$D$1, Assumptions!$B$4:$D$4), 1)</f>
        <v>6.4999999999999997E-3</v>
      </c>
      <c r="K7">
        <f t="shared" si="3"/>
        <v>5217875</v>
      </c>
      <c r="L7" cm="1">
        <f t="array" ref="L7">_xlfn.XLOOKUP(D7, Assumptions!$B$1:$D$1, Assumptions!$B$5:$D$5)</f>
        <v>500000</v>
      </c>
      <c r="M7">
        <f t="shared" si="4"/>
        <v>5717875</v>
      </c>
      <c r="N7">
        <f t="shared" si="5"/>
        <v>1704125</v>
      </c>
    </row>
    <row r="8" spans="1:14" x14ac:dyDescent="0.15">
      <c r="A8" t="s">
        <v>4</v>
      </c>
      <c r="B8">
        <v>2022</v>
      </c>
      <c r="C8">
        <v>15000000</v>
      </c>
      <c r="D8" t="str">
        <f>Dashboard!$B$1</f>
        <v>Worst Case</v>
      </c>
      <c r="E8" cm="1">
        <f t="array" ref="E8">_xlfn.XLOOKUP(D8, Assumptions!$B$1:$D$1, Assumptions!$B$2:$D$2)</f>
        <v>65</v>
      </c>
      <c r="F8" cm="1">
        <f t="array" ref="F8">_xlfn.XLOOKUP(D8, Assumptions!$B$1:$D$1, Assumptions!$B$3:$D$3)</f>
        <v>50</v>
      </c>
      <c r="G8">
        <f t="shared" si="0"/>
        <v>6337500</v>
      </c>
      <c r="H8">
        <f t="shared" si="1"/>
        <v>4875000</v>
      </c>
      <c r="I8">
        <f t="shared" si="2"/>
        <v>1462500</v>
      </c>
      <c r="J8" cm="1">
        <f t="array" ref="J8">IF(A8="Universal Studios Japan", _xlfn.XLOOKUP(D8, Assumptions!$B$1:$D$1, Assumptions!$B$4:$D$4), 1)</f>
        <v>6.4999999999999997E-3</v>
      </c>
      <c r="K8">
        <f t="shared" si="3"/>
        <v>6337500</v>
      </c>
      <c r="L8" cm="1">
        <f t="array" ref="L8">_xlfn.XLOOKUP(D8, Assumptions!$B$1:$D$1, Assumptions!$B$5:$D$5)</f>
        <v>500000</v>
      </c>
      <c r="M8">
        <f t="shared" si="4"/>
        <v>6837500</v>
      </c>
      <c r="N8">
        <f t="shared" si="5"/>
        <v>1962500</v>
      </c>
    </row>
    <row r="9" spans="1:14" x14ac:dyDescent="0.15">
      <c r="A9" t="s">
        <v>4</v>
      </c>
      <c r="B9">
        <v>2023</v>
      </c>
      <c r="C9">
        <v>16000000</v>
      </c>
      <c r="D9" t="str">
        <f>Dashboard!$B$1</f>
        <v>Worst Case</v>
      </c>
      <c r="E9" cm="1">
        <f t="array" ref="E9">_xlfn.XLOOKUP(D9, Assumptions!$B$1:$D$1, Assumptions!$B$2:$D$2)</f>
        <v>65</v>
      </c>
      <c r="F9" cm="1">
        <f t="array" ref="F9">_xlfn.XLOOKUP(D9, Assumptions!$B$1:$D$1, Assumptions!$B$3:$D$3)</f>
        <v>50</v>
      </c>
      <c r="G9">
        <f t="shared" si="0"/>
        <v>6760000</v>
      </c>
      <c r="H9">
        <f t="shared" si="1"/>
        <v>5200000</v>
      </c>
      <c r="I9">
        <f t="shared" si="2"/>
        <v>1560000</v>
      </c>
      <c r="J9" cm="1">
        <f t="array" ref="J9">IF(A9="Universal Studios Japan", _xlfn.XLOOKUP(D9, Assumptions!$B$1:$D$1, Assumptions!$B$4:$D$4), 1)</f>
        <v>6.4999999999999997E-3</v>
      </c>
      <c r="K9">
        <f t="shared" si="3"/>
        <v>6760000</v>
      </c>
      <c r="L9" cm="1">
        <f t="array" ref="L9">_xlfn.XLOOKUP(D9, Assumptions!$B$1:$D$1, Assumptions!$B$5:$D$5)</f>
        <v>500000</v>
      </c>
      <c r="M9">
        <f t="shared" si="4"/>
        <v>7260000</v>
      </c>
      <c r="N9">
        <f t="shared" si="5"/>
        <v>2060000</v>
      </c>
    </row>
    <row r="10" spans="1:14" x14ac:dyDescent="0.15">
      <c r="A10" t="s">
        <v>6</v>
      </c>
      <c r="B10">
        <v>2016</v>
      </c>
      <c r="C10">
        <v>10000000</v>
      </c>
      <c r="D10" t="str">
        <f>Dashboard!$B$1</f>
        <v>Worst Case</v>
      </c>
      <c r="E10" cm="1">
        <f t="array" ref="E10">_xlfn.XLOOKUP(D10, Assumptions!$B$1:$D$1, Assumptions!$B$2:$D$2)</f>
        <v>65</v>
      </c>
      <c r="F10" cm="1">
        <f t="array" ref="F10">_xlfn.XLOOKUP(D10, Assumptions!$B$1:$D$1, Assumptions!$B$3:$D$3)</f>
        <v>50</v>
      </c>
      <c r="G10">
        <f t="shared" si="0"/>
        <v>650000000</v>
      </c>
      <c r="H10">
        <f t="shared" si="1"/>
        <v>500000000</v>
      </c>
      <c r="I10">
        <f t="shared" si="2"/>
        <v>150000000</v>
      </c>
      <c r="J10" cm="1">
        <f t="array" ref="J10">IF(A10="Universal Studios Japan", _xlfn.XLOOKUP(D10, Assumptions!$B$1:$D$1, Assumptions!$B$4:$D$4), 1)</f>
        <v>1</v>
      </c>
      <c r="K10">
        <f t="shared" si="3"/>
        <v>650000000</v>
      </c>
      <c r="L10" cm="1">
        <f t="array" ref="L10">_xlfn.XLOOKUP(D10, Assumptions!$B$1:$D$1, Assumptions!$B$5:$D$5)</f>
        <v>500000</v>
      </c>
      <c r="M10">
        <f t="shared" si="4"/>
        <v>650500000</v>
      </c>
      <c r="N10">
        <f t="shared" si="5"/>
        <v>150500000</v>
      </c>
    </row>
    <row r="11" spans="1:14" x14ac:dyDescent="0.15">
      <c r="A11" t="s">
        <v>6</v>
      </c>
      <c r="B11">
        <v>2017</v>
      </c>
      <c r="C11">
        <v>10200000</v>
      </c>
      <c r="D11" t="str">
        <f>Dashboard!$B$1</f>
        <v>Worst Case</v>
      </c>
      <c r="E11" cm="1">
        <f t="array" ref="E11">_xlfn.XLOOKUP(D11, Assumptions!$B$1:$D$1, Assumptions!$B$2:$D$2)</f>
        <v>65</v>
      </c>
      <c r="F11" cm="1">
        <f t="array" ref="F11">_xlfn.XLOOKUP(D11, Assumptions!$B$1:$D$1, Assumptions!$B$3:$D$3)</f>
        <v>50</v>
      </c>
      <c r="G11">
        <f t="shared" si="0"/>
        <v>663000000</v>
      </c>
      <c r="H11">
        <f t="shared" si="1"/>
        <v>510000000</v>
      </c>
      <c r="I11">
        <f t="shared" si="2"/>
        <v>153000000</v>
      </c>
      <c r="J11" cm="1">
        <f t="array" ref="J11">IF(A11="Universal Studios Japan", _xlfn.XLOOKUP(D11, Assumptions!$B$1:$D$1, Assumptions!$B$4:$D$4), 1)</f>
        <v>1</v>
      </c>
      <c r="K11">
        <f t="shared" si="3"/>
        <v>663000000</v>
      </c>
      <c r="L11" cm="1">
        <f t="array" ref="L11">_xlfn.XLOOKUP(D11, Assumptions!$B$1:$D$1, Assumptions!$B$5:$D$5)</f>
        <v>500000</v>
      </c>
      <c r="M11">
        <f t="shared" si="4"/>
        <v>663500000</v>
      </c>
      <c r="N11">
        <f t="shared" si="5"/>
        <v>153500000</v>
      </c>
    </row>
    <row r="12" spans="1:14" x14ac:dyDescent="0.15">
      <c r="A12" t="s">
        <v>6</v>
      </c>
      <c r="B12">
        <v>2018</v>
      </c>
      <c r="C12">
        <v>10400000</v>
      </c>
      <c r="D12" t="str">
        <f>Dashboard!$B$1</f>
        <v>Worst Case</v>
      </c>
      <c r="E12" cm="1">
        <f t="array" ref="E12">_xlfn.XLOOKUP(D12, Assumptions!$B$1:$D$1, Assumptions!$B$2:$D$2)</f>
        <v>65</v>
      </c>
      <c r="F12" cm="1">
        <f t="array" ref="F12">_xlfn.XLOOKUP(D12, Assumptions!$B$1:$D$1, Assumptions!$B$3:$D$3)</f>
        <v>50</v>
      </c>
      <c r="G12">
        <f t="shared" si="0"/>
        <v>676000000</v>
      </c>
      <c r="H12">
        <f t="shared" si="1"/>
        <v>520000000</v>
      </c>
      <c r="I12">
        <f t="shared" si="2"/>
        <v>156000000</v>
      </c>
      <c r="J12" cm="1">
        <f t="array" ref="J12">IF(A12="Universal Studios Japan", _xlfn.XLOOKUP(D12, Assumptions!$B$1:$D$1, Assumptions!$B$4:$D$4), 1)</f>
        <v>1</v>
      </c>
      <c r="K12">
        <f t="shared" si="3"/>
        <v>676000000</v>
      </c>
      <c r="L12" cm="1">
        <f t="array" ref="L12">_xlfn.XLOOKUP(D12, Assumptions!$B$1:$D$1, Assumptions!$B$5:$D$5)</f>
        <v>500000</v>
      </c>
      <c r="M12">
        <f t="shared" si="4"/>
        <v>676500000</v>
      </c>
      <c r="N12">
        <f t="shared" si="5"/>
        <v>156500000</v>
      </c>
    </row>
    <row r="13" spans="1:14" x14ac:dyDescent="0.15">
      <c r="A13" t="s">
        <v>6</v>
      </c>
      <c r="B13">
        <v>2019</v>
      </c>
      <c r="C13">
        <v>9500000</v>
      </c>
      <c r="D13" t="str">
        <f>Dashboard!$B$1</f>
        <v>Worst Case</v>
      </c>
      <c r="E13" cm="1">
        <f t="array" ref="E13">_xlfn.XLOOKUP(D13, Assumptions!$B$1:$D$1, Assumptions!$B$2:$D$2)</f>
        <v>65</v>
      </c>
      <c r="F13" cm="1">
        <f t="array" ref="F13">_xlfn.XLOOKUP(D13, Assumptions!$B$1:$D$1, Assumptions!$B$3:$D$3)</f>
        <v>50</v>
      </c>
      <c r="G13">
        <f t="shared" si="0"/>
        <v>617500000</v>
      </c>
      <c r="H13">
        <f t="shared" si="1"/>
        <v>475000000</v>
      </c>
      <c r="I13">
        <f t="shared" si="2"/>
        <v>142500000</v>
      </c>
      <c r="J13" cm="1">
        <f t="array" ref="J13">IF(A13="Universal Studios Japan", _xlfn.XLOOKUP(D13, Assumptions!$B$1:$D$1, Assumptions!$B$4:$D$4), 1)</f>
        <v>1</v>
      </c>
      <c r="K13">
        <f t="shared" si="3"/>
        <v>617500000</v>
      </c>
      <c r="L13" cm="1">
        <f t="array" ref="L13">_xlfn.XLOOKUP(D13, Assumptions!$B$1:$D$1, Assumptions!$B$5:$D$5)</f>
        <v>500000</v>
      </c>
      <c r="M13">
        <f t="shared" si="4"/>
        <v>618000000</v>
      </c>
      <c r="N13">
        <f t="shared" si="5"/>
        <v>143000000</v>
      </c>
    </row>
    <row r="14" spans="1:14" x14ac:dyDescent="0.15">
      <c r="A14" t="s">
        <v>6</v>
      </c>
      <c r="B14">
        <v>2020</v>
      </c>
      <c r="C14">
        <v>4500000</v>
      </c>
      <c r="D14" t="str">
        <f>Dashboard!$B$1</f>
        <v>Worst Case</v>
      </c>
      <c r="E14" cm="1">
        <f t="array" ref="E14">_xlfn.XLOOKUP(D14, Assumptions!$B$1:$D$1, Assumptions!$B$2:$D$2)</f>
        <v>65</v>
      </c>
      <c r="F14" cm="1">
        <f t="array" ref="F14">_xlfn.XLOOKUP(D14, Assumptions!$B$1:$D$1, Assumptions!$B$3:$D$3)</f>
        <v>50</v>
      </c>
      <c r="G14">
        <f t="shared" si="0"/>
        <v>292500000</v>
      </c>
      <c r="H14">
        <f t="shared" si="1"/>
        <v>225000000</v>
      </c>
      <c r="I14">
        <f t="shared" si="2"/>
        <v>67500000</v>
      </c>
      <c r="J14" cm="1">
        <f t="array" ref="J14">IF(A14="Universal Studios Japan", _xlfn.XLOOKUP(D14, Assumptions!$B$1:$D$1, Assumptions!$B$4:$D$4), 1)</f>
        <v>1</v>
      </c>
      <c r="K14">
        <f t="shared" si="3"/>
        <v>292500000</v>
      </c>
      <c r="L14" cm="1">
        <f t="array" ref="L14">_xlfn.XLOOKUP(D14, Assumptions!$B$1:$D$1, Assumptions!$B$5:$D$5)</f>
        <v>500000</v>
      </c>
      <c r="M14">
        <f t="shared" si="4"/>
        <v>293000000</v>
      </c>
      <c r="N14">
        <f t="shared" si="5"/>
        <v>68000000</v>
      </c>
    </row>
    <row r="15" spans="1:14" x14ac:dyDescent="0.15">
      <c r="A15" t="s">
        <v>6</v>
      </c>
      <c r="B15">
        <v>2021</v>
      </c>
      <c r="C15">
        <v>10750000</v>
      </c>
      <c r="D15" t="str">
        <f>Dashboard!$B$1</f>
        <v>Worst Case</v>
      </c>
      <c r="E15" cm="1">
        <f t="array" ref="E15">_xlfn.XLOOKUP(D15, Assumptions!$B$1:$D$1, Assumptions!$B$2:$D$2)</f>
        <v>65</v>
      </c>
      <c r="F15" cm="1">
        <f t="array" ref="F15">_xlfn.XLOOKUP(D15, Assumptions!$B$1:$D$1, Assumptions!$B$3:$D$3)</f>
        <v>50</v>
      </c>
      <c r="G15">
        <f t="shared" si="0"/>
        <v>698750000</v>
      </c>
      <c r="H15">
        <f t="shared" si="1"/>
        <v>537500000</v>
      </c>
      <c r="I15">
        <f t="shared" si="2"/>
        <v>161250000</v>
      </c>
      <c r="J15" cm="1">
        <f t="array" ref="J15">IF(A15="Universal Studios Japan", _xlfn.XLOOKUP(D15, Assumptions!$B$1:$D$1, Assumptions!$B$4:$D$4), 1)</f>
        <v>1</v>
      </c>
      <c r="K15">
        <f t="shared" si="3"/>
        <v>698750000</v>
      </c>
      <c r="L15" cm="1">
        <f t="array" ref="L15">_xlfn.XLOOKUP(D15, Assumptions!$B$1:$D$1, Assumptions!$B$5:$D$5)</f>
        <v>500000</v>
      </c>
      <c r="M15">
        <f t="shared" si="4"/>
        <v>699250000</v>
      </c>
      <c r="N15">
        <f t="shared" si="5"/>
        <v>161750000</v>
      </c>
    </row>
    <row r="16" spans="1:14" x14ac:dyDescent="0.15">
      <c r="A16" t="s">
        <v>6</v>
      </c>
      <c r="B16">
        <v>2022</v>
      </c>
      <c r="C16">
        <v>11000000</v>
      </c>
      <c r="D16" t="str">
        <f>Dashboard!$B$1</f>
        <v>Worst Case</v>
      </c>
      <c r="E16" cm="1">
        <f t="array" ref="E16">_xlfn.XLOOKUP(D16, Assumptions!$B$1:$D$1, Assumptions!$B$2:$D$2)</f>
        <v>65</v>
      </c>
      <c r="F16" cm="1">
        <f t="array" ref="F16">_xlfn.XLOOKUP(D16, Assumptions!$B$1:$D$1, Assumptions!$B$3:$D$3)</f>
        <v>50</v>
      </c>
      <c r="G16">
        <f t="shared" si="0"/>
        <v>715000000</v>
      </c>
      <c r="H16">
        <f t="shared" si="1"/>
        <v>550000000</v>
      </c>
      <c r="I16">
        <f t="shared" si="2"/>
        <v>165000000</v>
      </c>
      <c r="J16" cm="1">
        <f t="array" ref="J16">IF(A16="Universal Studios Japan", _xlfn.XLOOKUP(D16, Assumptions!$B$1:$D$1, Assumptions!$B$4:$D$4), 1)</f>
        <v>1</v>
      </c>
      <c r="K16">
        <f t="shared" si="3"/>
        <v>715000000</v>
      </c>
      <c r="L16" cm="1">
        <f t="array" ref="L16">_xlfn.XLOOKUP(D16, Assumptions!$B$1:$D$1, Assumptions!$B$5:$D$5)</f>
        <v>500000</v>
      </c>
      <c r="M16">
        <f t="shared" si="4"/>
        <v>715500000</v>
      </c>
      <c r="N16">
        <f t="shared" si="5"/>
        <v>165500000</v>
      </c>
    </row>
    <row r="17" spans="1:14" x14ac:dyDescent="0.15">
      <c r="A17" t="s">
        <v>6</v>
      </c>
      <c r="B17">
        <v>2023</v>
      </c>
      <c r="C17">
        <v>9750000</v>
      </c>
      <c r="D17" t="str">
        <f>Dashboard!$B$1</f>
        <v>Worst Case</v>
      </c>
      <c r="E17" cm="1">
        <f t="array" ref="E17">_xlfn.XLOOKUP(D17, Assumptions!$B$1:$D$1, Assumptions!$B$2:$D$2)</f>
        <v>65</v>
      </c>
      <c r="F17" cm="1">
        <f t="array" ref="F17">_xlfn.XLOOKUP(D17, Assumptions!$B$1:$D$1, Assumptions!$B$3:$D$3)</f>
        <v>50</v>
      </c>
      <c r="G17">
        <f t="shared" si="0"/>
        <v>633750000</v>
      </c>
      <c r="H17">
        <f t="shared" si="1"/>
        <v>487500000</v>
      </c>
      <c r="I17">
        <f t="shared" si="2"/>
        <v>146250000</v>
      </c>
      <c r="J17" cm="1">
        <f t="array" ref="J17">IF(A17="Universal Studios Japan", _xlfn.XLOOKUP(D17, Assumptions!$B$1:$D$1, Assumptions!$B$4:$D$4), 1)</f>
        <v>1</v>
      </c>
      <c r="K17">
        <f t="shared" si="3"/>
        <v>633750000</v>
      </c>
      <c r="L17" cm="1">
        <f t="array" ref="L17">_xlfn.XLOOKUP(D17, Assumptions!$B$1:$D$1, Assumptions!$B$5:$D$5)</f>
        <v>500000</v>
      </c>
      <c r="M17">
        <f t="shared" si="4"/>
        <v>634250000</v>
      </c>
      <c r="N17">
        <f t="shared" si="5"/>
        <v>146750000</v>
      </c>
    </row>
    <row r="18" spans="1:14" x14ac:dyDescent="0.15">
      <c r="A18" t="s">
        <v>8</v>
      </c>
      <c r="B18">
        <v>2016</v>
      </c>
      <c r="C18">
        <v>9500000</v>
      </c>
      <c r="D18" t="str">
        <f>Dashboard!$B$1</f>
        <v>Worst Case</v>
      </c>
      <c r="E18" cm="1">
        <f t="array" ref="E18">_xlfn.XLOOKUP(D18, Assumptions!$B$1:$D$1, Assumptions!$B$2:$D$2)</f>
        <v>65</v>
      </c>
      <c r="F18" cm="1">
        <f t="array" ref="F18">_xlfn.XLOOKUP(D18, Assumptions!$B$1:$D$1, Assumptions!$B$3:$D$3)</f>
        <v>50</v>
      </c>
      <c r="G18">
        <f t="shared" si="0"/>
        <v>617500000</v>
      </c>
      <c r="H18">
        <f t="shared" si="1"/>
        <v>475000000</v>
      </c>
      <c r="I18">
        <f t="shared" si="2"/>
        <v>142500000</v>
      </c>
      <c r="J18" cm="1">
        <f t="array" ref="J18">IF(A18="Universal Studios Japan", _xlfn.XLOOKUP(D18, Assumptions!$B$1:$D$1, Assumptions!$B$4:$D$4), 1)</f>
        <v>1</v>
      </c>
      <c r="K18">
        <f t="shared" si="3"/>
        <v>617500000</v>
      </c>
      <c r="L18" cm="1">
        <f t="array" ref="L18">_xlfn.XLOOKUP(D18, Assumptions!$B$1:$D$1, Assumptions!$B$5:$D$5)</f>
        <v>500000</v>
      </c>
      <c r="M18">
        <f t="shared" si="4"/>
        <v>618000000</v>
      </c>
      <c r="N18">
        <f t="shared" si="5"/>
        <v>143000000</v>
      </c>
    </row>
    <row r="19" spans="1:14" x14ac:dyDescent="0.15">
      <c r="A19" t="s">
        <v>8</v>
      </c>
      <c r="B19">
        <v>2017</v>
      </c>
      <c r="C19">
        <v>9700000</v>
      </c>
      <c r="D19" t="str">
        <f>Dashboard!$B$1</f>
        <v>Worst Case</v>
      </c>
      <c r="E19" cm="1">
        <f t="array" ref="E19">_xlfn.XLOOKUP(D19, Assumptions!$B$1:$D$1, Assumptions!$B$2:$D$2)</f>
        <v>65</v>
      </c>
      <c r="F19" cm="1">
        <f t="array" ref="F19">_xlfn.XLOOKUP(D19, Assumptions!$B$1:$D$1, Assumptions!$B$3:$D$3)</f>
        <v>50</v>
      </c>
      <c r="G19">
        <f t="shared" si="0"/>
        <v>630500000</v>
      </c>
      <c r="H19">
        <f t="shared" si="1"/>
        <v>485000000</v>
      </c>
      <c r="I19">
        <f t="shared" si="2"/>
        <v>145500000</v>
      </c>
      <c r="J19" cm="1">
        <f t="array" ref="J19">IF(A19="Universal Studios Japan", _xlfn.XLOOKUP(D19, Assumptions!$B$1:$D$1, Assumptions!$B$4:$D$4), 1)</f>
        <v>1</v>
      </c>
      <c r="K19">
        <f t="shared" si="3"/>
        <v>630500000</v>
      </c>
      <c r="L19" cm="1">
        <f t="array" ref="L19">_xlfn.XLOOKUP(D19, Assumptions!$B$1:$D$1, Assumptions!$B$5:$D$5)</f>
        <v>500000</v>
      </c>
      <c r="M19">
        <f t="shared" si="4"/>
        <v>631000000</v>
      </c>
      <c r="N19">
        <f t="shared" si="5"/>
        <v>146000000</v>
      </c>
    </row>
    <row r="20" spans="1:14" x14ac:dyDescent="0.15">
      <c r="A20" t="s">
        <v>8</v>
      </c>
      <c r="B20">
        <v>2018</v>
      </c>
      <c r="C20">
        <v>9800000</v>
      </c>
      <c r="D20" t="str">
        <f>Dashboard!$B$1</f>
        <v>Worst Case</v>
      </c>
      <c r="E20" cm="1">
        <f t="array" ref="E20">_xlfn.XLOOKUP(D20, Assumptions!$B$1:$D$1, Assumptions!$B$2:$D$2)</f>
        <v>65</v>
      </c>
      <c r="F20" cm="1">
        <f t="array" ref="F20">_xlfn.XLOOKUP(D20, Assumptions!$B$1:$D$1, Assumptions!$B$3:$D$3)</f>
        <v>50</v>
      </c>
      <c r="G20">
        <f t="shared" si="0"/>
        <v>637000000</v>
      </c>
      <c r="H20">
        <f t="shared" si="1"/>
        <v>490000000</v>
      </c>
      <c r="I20">
        <f t="shared" si="2"/>
        <v>147000000</v>
      </c>
      <c r="J20" cm="1">
        <f t="array" ref="J20">IF(A20="Universal Studios Japan", _xlfn.XLOOKUP(D20, Assumptions!$B$1:$D$1, Assumptions!$B$4:$D$4), 1)</f>
        <v>1</v>
      </c>
      <c r="K20">
        <f t="shared" si="3"/>
        <v>637000000</v>
      </c>
      <c r="L20" cm="1">
        <f t="array" ref="L20">_xlfn.XLOOKUP(D20, Assumptions!$B$1:$D$1, Assumptions!$B$5:$D$5)</f>
        <v>500000</v>
      </c>
      <c r="M20">
        <f t="shared" si="4"/>
        <v>637500000</v>
      </c>
      <c r="N20">
        <f t="shared" si="5"/>
        <v>147500000</v>
      </c>
    </row>
    <row r="21" spans="1:14" x14ac:dyDescent="0.15">
      <c r="A21" t="s">
        <v>8</v>
      </c>
      <c r="B21">
        <v>2019</v>
      </c>
      <c r="C21">
        <v>9400000</v>
      </c>
      <c r="D21" t="str">
        <f>Dashboard!$B$1</f>
        <v>Worst Case</v>
      </c>
      <c r="E21" cm="1">
        <f t="array" ref="E21">_xlfn.XLOOKUP(D21, Assumptions!$B$1:$D$1, Assumptions!$B$2:$D$2)</f>
        <v>65</v>
      </c>
      <c r="F21" cm="1">
        <f t="array" ref="F21">_xlfn.XLOOKUP(D21, Assumptions!$B$1:$D$1, Assumptions!$B$3:$D$3)</f>
        <v>50</v>
      </c>
      <c r="G21">
        <f t="shared" si="0"/>
        <v>611000000</v>
      </c>
      <c r="H21">
        <f t="shared" si="1"/>
        <v>470000000</v>
      </c>
      <c r="I21">
        <f t="shared" si="2"/>
        <v>141000000</v>
      </c>
      <c r="J21" cm="1">
        <f t="array" ref="J21">IF(A21="Universal Studios Japan", _xlfn.XLOOKUP(D21, Assumptions!$B$1:$D$1, Assumptions!$B$4:$D$4), 1)</f>
        <v>1</v>
      </c>
      <c r="K21">
        <f t="shared" si="3"/>
        <v>611000000</v>
      </c>
      <c r="L21" cm="1">
        <f t="array" ref="L21">_xlfn.XLOOKUP(D21, Assumptions!$B$1:$D$1, Assumptions!$B$5:$D$5)</f>
        <v>500000</v>
      </c>
      <c r="M21">
        <f t="shared" si="4"/>
        <v>611500000</v>
      </c>
      <c r="N21">
        <f t="shared" si="5"/>
        <v>141500000</v>
      </c>
    </row>
    <row r="22" spans="1:14" x14ac:dyDescent="0.15">
      <c r="A22" t="s">
        <v>8</v>
      </c>
      <c r="B22">
        <v>2020</v>
      </c>
      <c r="C22">
        <v>4300000</v>
      </c>
      <c r="D22" t="str">
        <f>Dashboard!$B$1</f>
        <v>Worst Case</v>
      </c>
      <c r="E22" cm="1">
        <f t="array" ref="E22">_xlfn.XLOOKUP(D22, Assumptions!$B$1:$D$1, Assumptions!$B$2:$D$2)</f>
        <v>65</v>
      </c>
      <c r="F22" cm="1">
        <f t="array" ref="F22">_xlfn.XLOOKUP(D22, Assumptions!$B$1:$D$1, Assumptions!$B$3:$D$3)</f>
        <v>50</v>
      </c>
      <c r="G22">
        <f t="shared" si="0"/>
        <v>279500000</v>
      </c>
      <c r="H22">
        <f t="shared" si="1"/>
        <v>215000000</v>
      </c>
      <c r="I22">
        <f t="shared" si="2"/>
        <v>64500000</v>
      </c>
      <c r="J22" cm="1">
        <f t="array" ref="J22">IF(A22="Universal Studios Japan", _xlfn.XLOOKUP(D22, Assumptions!$B$1:$D$1, Assumptions!$B$4:$D$4), 1)</f>
        <v>1</v>
      </c>
      <c r="K22">
        <f t="shared" si="3"/>
        <v>279500000</v>
      </c>
      <c r="L22" cm="1">
        <f t="array" ref="L22">_xlfn.XLOOKUP(D22, Assumptions!$B$1:$D$1, Assumptions!$B$5:$D$5)</f>
        <v>500000</v>
      </c>
      <c r="M22">
        <f t="shared" si="4"/>
        <v>280000000</v>
      </c>
      <c r="N22">
        <f t="shared" si="5"/>
        <v>65000000</v>
      </c>
    </row>
    <row r="23" spans="1:14" x14ac:dyDescent="0.15">
      <c r="A23" t="s">
        <v>8</v>
      </c>
      <c r="B23">
        <v>2021</v>
      </c>
      <c r="C23">
        <v>11025000</v>
      </c>
      <c r="D23" t="str">
        <f>Dashboard!$B$1</f>
        <v>Worst Case</v>
      </c>
      <c r="E23" cm="1">
        <f t="array" ref="E23">_xlfn.XLOOKUP(D23, Assumptions!$B$1:$D$1, Assumptions!$B$2:$D$2)</f>
        <v>65</v>
      </c>
      <c r="F23" cm="1">
        <f t="array" ref="F23">_xlfn.XLOOKUP(D23, Assumptions!$B$1:$D$1, Assumptions!$B$3:$D$3)</f>
        <v>50</v>
      </c>
      <c r="G23">
        <f t="shared" si="0"/>
        <v>716625000</v>
      </c>
      <c r="H23">
        <f t="shared" si="1"/>
        <v>551250000</v>
      </c>
      <c r="I23">
        <f t="shared" si="2"/>
        <v>165375000</v>
      </c>
      <c r="J23" cm="1">
        <f t="array" ref="J23">IF(A23="Universal Studios Japan", _xlfn.XLOOKUP(D23, Assumptions!$B$1:$D$1, Assumptions!$B$4:$D$4), 1)</f>
        <v>1</v>
      </c>
      <c r="K23">
        <f t="shared" si="3"/>
        <v>716625000</v>
      </c>
      <c r="L23" cm="1">
        <f t="array" ref="L23">_xlfn.XLOOKUP(D23, Assumptions!$B$1:$D$1, Assumptions!$B$5:$D$5)</f>
        <v>500000</v>
      </c>
      <c r="M23">
        <f t="shared" si="4"/>
        <v>717125000</v>
      </c>
      <c r="N23">
        <f t="shared" si="5"/>
        <v>165875000</v>
      </c>
    </row>
    <row r="24" spans="1:14" x14ac:dyDescent="0.15">
      <c r="A24" t="s">
        <v>8</v>
      </c>
      <c r="B24">
        <v>2022</v>
      </c>
      <c r="C24">
        <v>10800000</v>
      </c>
      <c r="D24" t="str">
        <f>Dashboard!$B$1</f>
        <v>Worst Case</v>
      </c>
      <c r="E24" cm="1">
        <f t="array" ref="E24">_xlfn.XLOOKUP(D24, Assumptions!$B$1:$D$1, Assumptions!$B$2:$D$2)</f>
        <v>65</v>
      </c>
      <c r="F24" cm="1">
        <f t="array" ref="F24">_xlfn.XLOOKUP(D24, Assumptions!$B$1:$D$1, Assumptions!$B$3:$D$3)</f>
        <v>50</v>
      </c>
      <c r="G24">
        <f t="shared" si="0"/>
        <v>702000000</v>
      </c>
      <c r="H24">
        <f t="shared" si="1"/>
        <v>540000000</v>
      </c>
      <c r="I24">
        <f t="shared" si="2"/>
        <v>162000000</v>
      </c>
      <c r="J24" cm="1">
        <f t="array" ref="J24">IF(A24="Universal Studios Japan", _xlfn.XLOOKUP(D24, Assumptions!$B$1:$D$1, Assumptions!$B$4:$D$4), 1)</f>
        <v>1</v>
      </c>
      <c r="K24">
        <f t="shared" si="3"/>
        <v>702000000</v>
      </c>
      <c r="L24" cm="1">
        <f t="array" ref="L24">_xlfn.XLOOKUP(D24, Assumptions!$B$1:$D$1, Assumptions!$B$5:$D$5)</f>
        <v>500000</v>
      </c>
      <c r="M24">
        <f t="shared" si="4"/>
        <v>702500000</v>
      </c>
      <c r="N24">
        <f t="shared" si="5"/>
        <v>162500000</v>
      </c>
    </row>
    <row r="25" spans="1:14" x14ac:dyDescent="0.15">
      <c r="A25" t="s">
        <v>8</v>
      </c>
      <c r="B25">
        <v>2023</v>
      </c>
      <c r="C25">
        <v>10000000</v>
      </c>
      <c r="D25" t="str">
        <f>Dashboard!$B$1</f>
        <v>Worst Case</v>
      </c>
      <c r="E25" cm="1">
        <f t="array" ref="E25">_xlfn.XLOOKUP(D25, Assumptions!$B$1:$D$1, Assumptions!$B$2:$D$2)</f>
        <v>65</v>
      </c>
      <c r="F25" cm="1">
        <f t="array" ref="F25">_xlfn.XLOOKUP(D25, Assumptions!$B$1:$D$1, Assumptions!$B$3:$D$3)</f>
        <v>50</v>
      </c>
      <c r="G25">
        <f t="shared" si="0"/>
        <v>650000000</v>
      </c>
      <c r="H25">
        <f t="shared" si="1"/>
        <v>500000000</v>
      </c>
      <c r="I25">
        <f t="shared" si="2"/>
        <v>150000000</v>
      </c>
      <c r="J25" cm="1">
        <f t="array" ref="J25">IF(A25="Universal Studios Japan", _xlfn.XLOOKUP(D25, Assumptions!$B$1:$D$1, Assumptions!$B$4:$D$4), 1)</f>
        <v>1</v>
      </c>
      <c r="K25">
        <f t="shared" si="3"/>
        <v>650000000</v>
      </c>
      <c r="L25" cm="1">
        <f t="array" ref="L25">_xlfn.XLOOKUP(D25, Assumptions!$B$1:$D$1, Assumptions!$B$5:$D$5)</f>
        <v>500000</v>
      </c>
      <c r="M25">
        <f t="shared" si="4"/>
        <v>650500000</v>
      </c>
      <c r="N25">
        <f t="shared" si="5"/>
        <v>150500000</v>
      </c>
    </row>
    <row r="26" spans="1:14" x14ac:dyDescent="0.15">
      <c r="A26" t="s">
        <v>9</v>
      </c>
      <c r="B26">
        <v>2016</v>
      </c>
      <c r="C26">
        <v>8700000</v>
      </c>
      <c r="D26" t="str">
        <f>Dashboard!$B$1</f>
        <v>Worst Case</v>
      </c>
      <c r="E26" cm="1">
        <f t="array" ref="E26">_xlfn.XLOOKUP(D26, Assumptions!$B$1:$D$1, Assumptions!$B$2:$D$2)</f>
        <v>65</v>
      </c>
      <c r="F26" cm="1">
        <f t="array" ref="F26">_xlfn.XLOOKUP(D26, Assumptions!$B$1:$D$1, Assumptions!$B$3:$D$3)</f>
        <v>50</v>
      </c>
      <c r="G26">
        <f t="shared" si="0"/>
        <v>565500000</v>
      </c>
      <c r="H26">
        <f t="shared" si="1"/>
        <v>435000000</v>
      </c>
      <c r="I26">
        <f t="shared" si="2"/>
        <v>130500000</v>
      </c>
      <c r="J26" cm="1">
        <f t="array" ref="J26">IF(A26="Universal Studios Japan", _xlfn.XLOOKUP(D26, Assumptions!$B$1:$D$1, Assumptions!$B$4:$D$4), 1)</f>
        <v>1</v>
      </c>
      <c r="K26">
        <f t="shared" si="3"/>
        <v>565500000</v>
      </c>
      <c r="L26" cm="1">
        <f t="array" ref="L26">_xlfn.XLOOKUP(D26, Assumptions!$B$1:$D$1, Assumptions!$B$5:$D$5)</f>
        <v>500000</v>
      </c>
      <c r="M26">
        <f t="shared" si="4"/>
        <v>566000000</v>
      </c>
      <c r="N26">
        <f t="shared" si="5"/>
        <v>131000000</v>
      </c>
    </row>
    <row r="27" spans="1:14" x14ac:dyDescent="0.15">
      <c r="A27" t="s">
        <v>9</v>
      </c>
      <c r="B27">
        <v>2017</v>
      </c>
      <c r="C27">
        <v>8800000</v>
      </c>
      <c r="D27" t="str">
        <f>Dashboard!$B$1</f>
        <v>Worst Case</v>
      </c>
      <c r="E27" cm="1">
        <f t="array" ref="E27">_xlfn.XLOOKUP(D27, Assumptions!$B$1:$D$1, Assumptions!$B$2:$D$2)</f>
        <v>65</v>
      </c>
      <c r="F27" cm="1">
        <f t="array" ref="F27">_xlfn.XLOOKUP(D27, Assumptions!$B$1:$D$1, Assumptions!$B$3:$D$3)</f>
        <v>50</v>
      </c>
      <c r="G27">
        <f t="shared" si="0"/>
        <v>572000000</v>
      </c>
      <c r="H27">
        <f t="shared" si="1"/>
        <v>440000000</v>
      </c>
      <c r="I27">
        <f t="shared" si="2"/>
        <v>132000000</v>
      </c>
      <c r="J27" cm="1">
        <f t="array" ref="J27">IF(A27="Universal Studios Japan", _xlfn.XLOOKUP(D27, Assumptions!$B$1:$D$1, Assumptions!$B$4:$D$4), 1)</f>
        <v>1</v>
      </c>
      <c r="K27">
        <f t="shared" si="3"/>
        <v>572000000</v>
      </c>
      <c r="L27" cm="1">
        <f t="array" ref="L27">_xlfn.XLOOKUP(D27, Assumptions!$B$1:$D$1, Assumptions!$B$5:$D$5)</f>
        <v>500000</v>
      </c>
      <c r="M27">
        <f t="shared" si="4"/>
        <v>572500000</v>
      </c>
      <c r="N27">
        <f t="shared" si="5"/>
        <v>132500000</v>
      </c>
    </row>
    <row r="28" spans="1:14" x14ac:dyDescent="0.15">
      <c r="A28" t="s">
        <v>9</v>
      </c>
      <c r="B28">
        <v>2018</v>
      </c>
      <c r="C28">
        <v>9000000</v>
      </c>
      <c r="D28" t="str">
        <f>Dashboard!$B$1</f>
        <v>Worst Case</v>
      </c>
      <c r="E28" cm="1">
        <f t="array" ref="E28">_xlfn.XLOOKUP(D28, Assumptions!$B$1:$D$1, Assumptions!$B$2:$D$2)</f>
        <v>65</v>
      </c>
      <c r="F28" cm="1">
        <f t="array" ref="F28">_xlfn.XLOOKUP(D28, Assumptions!$B$1:$D$1, Assumptions!$B$3:$D$3)</f>
        <v>50</v>
      </c>
      <c r="G28">
        <f t="shared" si="0"/>
        <v>585000000</v>
      </c>
      <c r="H28">
        <f t="shared" si="1"/>
        <v>450000000</v>
      </c>
      <c r="I28">
        <f t="shared" si="2"/>
        <v>135000000</v>
      </c>
      <c r="J28" cm="1">
        <f t="array" ref="J28">IF(A28="Universal Studios Japan", _xlfn.XLOOKUP(D28, Assumptions!$B$1:$D$1, Assumptions!$B$4:$D$4), 1)</f>
        <v>1</v>
      </c>
      <c r="K28">
        <f t="shared" si="3"/>
        <v>585000000</v>
      </c>
      <c r="L28" cm="1">
        <f t="array" ref="L28">_xlfn.XLOOKUP(D28, Assumptions!$B$1:$D$1, Assumptions!$B$5:$D$5)</f>
        <v>500000</v>
      </c>
      <c r="M28">
        <f t="shared" si="4"/>
        <v>585500000</v>
      </c>
      <c r="N28">
        <f t="shared" si="5"/>
        <v>135500000</v>
      </c>
    </row>
    <row r="29" spans="1:14" x14ac:dyDescent="0.15">
      <c r="A29" t="s">
        <v>9</v>
      </c>
      <c r="B29">
        <v>2019</v>
      </c>
      <c r="C29">
        <v>8600000</v>
      </c>
      <c r="D29" t="str">
        <f>Dashboard!$B$1</f>
        <v>Worst Case</v>
      </c>
      <c r="E29" cm="1">
        <f t="array" ref="E29">_xlfn.XLOOKUP(D29, Assumptions!$B$1:$D$1, Assumptions!$B$2:$D$2)</f>
        <v>65</v>
      </c>
      <c r="F29" cm="1">
        <f t="array" ref="F29">_xlfn.XLOOKUP(D29, Assumptions!$B$1:$D$1, Assumptions!$B$3:$D$3)</f>
        <v>50</v>
      </c>
      <c r="G29">
        <f t="shared" si="0"/>
        <v>559000000</v>
      </c>
      <c r="H29">
        <f t="shared" si="1"/>
        <v>430000000</v>
      </c>
      <c r="I29">
        <f t="shared" si="2"/>
        <v>129000000</v>
      </c>
      <c r="J29" cm="1">
        <f t="array" ref="J29">IF(A29="Universal Studios Japan", _xlfn.XLOOKUP(D29, Assumptions!$B$1:$D$1, Assumptions!$B$4:$D$4), 1)</f>
        <v>1</v>
      </c>
      <c r="K29">
        <f t="shared" si="3"/>
        <v>559000000</v>
      </c>
      <c r="L29" cm="1">
        <f t="array" ref="L29">_xlfn.XLOOKUP(D29, Assumptions!$B$1:$D$1, Assumptions!$B$5:$D$5)</f>
        <v>500000</v>
      </c>
      <c r="M29">
        <f t="shared" si="4"/>
        <v>559500000</v>
      </c>
      <c r="N29">
        <f t="shared" si="5"/>
        <v>129500000</v>
      </c>
    </row>
    <row r="30" spans="1:14" x14ac:dyDescent="0.15">
      <c r="A30" t="s">
        <v>9</v>
      </c>
      <c r="B30">
        <v>2020</v>
      </c>
      <c r="C30">
        <v>4200000</v>
      </c>
      <c r="D30" t="str">
        <f>Dashboard!$B$1</f>
        <v>Worst Case</v>
      </c>
      <c r="E30" cm="1">
        <f t="array" ref="E30">_xlfn.XLOOKUP(D30, Assumptions!$B$1:$D$1, Assumptions!$B$2:$D$2)</f>
        <v>65</v>
      </c>
      <c r="F30" cm="1">
        <f t="array" ref="F30">_xlfn.XLOOKUP(D30, Assumptions!$B$1:$D$1, Assumptions!$B$3:$D$3)</f>
        <v>50</v>
      </c>
      <c r="G30">
        <f t="shared" si="0"/>
        <v>273000000</v>
      </c>
      <c r="H30">
        <f t="shared" si="1"/>
        <v>210000000</v>
      </c>
      <c r="I30">
        <f t="shared" si="2"/>
        <v>63000000</v>
      </c>
      <c r="J30" cm="1">
        <f t="array" ref="J30">IF(A30="Universal Studios Japan", _xlfn.XLOOKUP(D30, Assumptions!$B$1:$D$1, Assumptions!$B$4:$D$4), 1)</f>
        <v>1</v>
      </c>
      <c r="K30">
        <f t="shared" si="3"/>
        <v>273000000</v>
      </c>
      <c r="L30" cm="1">
        <f t="array" ref="L30">_xlfn.XLOOKUP(D30, Assumptions!$B$1:$D$1, Assumptions!$B$5:$D$5)</f>
        <v>500000</v>
      </c>
      <c r="M30">
        <f t="shared" si="4"/>
        <v>273500000</v>
      </c>
      <c r="N30">
        <f t="shared" si="5"/>
        <v>63500000</v>
      </c>
    </row>
    <row r="31" spans="1:14" x14ac:dyDescent="0.15">
      <c r="A31" t="s">
        <v>9</v>
      </c>
      <c r="B31">
        <v>2021</v>
      </c>
      <c r="C31">
        <v>8400000</v>
      </c>
      <c r="D31" t="str">
        <f>Dashboard!$B$1</f>
        <v>Worst Case</v>
      </c>
      <c r="E31" cm="1">
        <f t="array" ref="E31">_xlfn.XLOOKUP(D31, Assumptions!$B$1:$D$1, Assumptions!$B$2:$D$2)</f>
        <v>65</v>
      </c>
      <c r="F31" cm="1">
        <f t="array" ref="F31">_xlfn.XLOOKUP(D31, Assumptions!$B$1:$D$1, Assumptions!$B$3:$D$3)</f>
        <v>50</v>
      </c>
      <c r="G31">
        <f t="shared" si="0"/>
        <v>546000000</v>
      </c>
      <c r="H31">
        <f t="shared" si="1"/>
        <v>420000000</v>
      </c>
      <c r="I31">
        <f t="shared" si="2"/>
        <v>126000000</v>
      </c>
      <c r="J31" cm="1">
        <f t="array" ref="J31">IF(A31="Universal Studios Japan", _xlfn.XLOOKUP(D31, Assumptions!$B$1:$D$1, Assumptions!$B$4:$D$4), 1)</f>
        <v>1</v>
      </c>
      <c r="K31">
        <f t="shared" si="3"/>
        <v>546000000</v>
      </c>
      <c r="L31" cm="1">
        <f t="array" ref="L31">_xlfn.XLOOKUP(D31, Assumptions!$B$1:$D$1, Assumptions!$B$5:$D$5)</f>
        <v>500000</v>
      </c>
      <c r="M31">
        <f t="shared" si="4"/>
        <v>546500000</v>
      </c>
      <c r="N31">
        <f t="shared" si="5"/>
        <v>126500000</v>
      </c>
    </row>
    <row r="32" spans="1:14" x14ac:dyDescent="0.15">
      <c r="A32" t="s">
        <v>9</v>
      </c>
      <c r="B32">
        <v>2022</v>
      </c>
      <c r="C32">
        <v>9100000</v>
      </c>
      <c r="D32" t="str">
        <f>Dashboard!$B$1</f>
        <v>Worst Case</v>
      </c>
      <c r="E32" cm="1">
        <f t="array" ref="E32">_xlfn.XLOOKUP(D32, Assumptions!$B$1:$D$1, Assumptions!$B$2:$D$2)</f>
        <v>65</v>
      </c>
      <c r="F32" cm="1">
        <f t="array" ref="F32">_xlfn.XLOOKUP(D32, Assumptions!$B$1:$D$1, Assumptions!$B$3:$D$3)</f>
        <v>50</v>
      </c>
      <c r="G32">
        <f t="shared" si="0"/>
        <v>591500000</v>
      </c>
      <c r="H32">
        <f t="shared" si="1"/>
        <v>455000000</v>
      </c>
      <c r="I32">
        <f t="shared" si="2"/>
        <v>136500000</v>
      </c>
      <c r="J32" cm="1">
        <f t="array" ref="J32">IF(A32="Universal Studios Japan", _xlfn.XLOOKUP(D32, Assumptions!$B$1:$D$1, Assumptions!$B$4:$D$4), 1)</f>
        <v>1</v>
      </c>
      <c r="K32">
        <f t="shared" si="3"/>
        <v>591500000</v>
      </c>
      <c r="L32" cm="1">
        <f t="array" ref="L32">_xlfn.XLOOKUP(D32, Assumptions!$B$1:$D$1, Assumptions!$B$5:$D$5)</f>
        <v>500000</v>
      </c>
      <c r="M32">
        <f t="shared" si="4"/>
        <v>592000000</v>
      </c>
      <c r="N32">
        <f t="shared" si="5"/>
        <v>137000000</v>
      </c>
    </row>
    <row r="33" spans="1:14" x14ac:dyDescent="0.15">
      <c r="A33" t="s">
        <v>9</v>
      </c>
      <c r="B33">
        <v>2023</v>
      </c>
      <c r="C33">
        <v>9660000</v>
      </c>
      <c r="D33" t="str">
        <f>Dashboard!$B$1</f>
        <v>Worst Case</v>
      </c>
      <c r="E33" cm="1">
        <f t="array" ref="E33">_xlfn.XLOOKUP(D33, Assumptions!$B$1:$D$1, Assumptions!$B$2:$D$2)</f>
        <v>65</v>
      </c>
      <c r="F33" cm="1">
        <f t="array" ref="F33">_xlfn.XLOOKUP(D33, Assumptions!$B$1:$D$1, Assumptions!$B$3:$D$3)</f>
        <v>50</v>
      </c>
      <c r="G33">
        <f t="shared" si="0"/>
        <v>627900000</v>
      </c>
      <c r="H33">
        <f t="shared" si="1"/>
        <v>483000000</v>
      </c>
      <c r="I33">
        <f t="shared" si="2"/>
        <v>144900000</v>
      </c>
      <c r="J33" cm="1">
        <f t="array" ref="J33">IF(A33="Universal Studios Japan", _xlfn.XLOOKUP(D33, Assumptions!$B$1:$D$1, Assumptions!$B$4:$D$4), 1)</f>
        <v>1</v>
      </c>
      <c r="K33">
        <f t="shared" si="3"/>
        <v>627900000</v>
      </c>
      <c r="L33" cm="1">
        <f t="array" ref="L33">_xlfn.XLOOKUP(D33, Assumptions!$B$1:$D$1, Assumptions!$B$5:$D$5)</f>
        <v>500000</v>
      </c>
      <c r="M33">
        <f t="shared" si="4"/>
        <v>628400000</v>
      </c>
      <c r="N33">
        <f t="shared" si="5"/>
        <v>145400000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"/>
  <sheetViews>
    <sheetView tabSelected="1" topLeftCell="A7" workbookViewId="0">
      <selection activeCell="G32" sqref="G32"/>
    </sheetView>
  </sheetViews>
  <sheetFormatPr defaultRowHeight="13.5" x14ac:dyDescent="0.15"/>
  <cols>
    <col min="1" max="1" width="30.5" bestFit="1" customWidth="1"/>
    <col min="2" max="2" width="11.625" bestFit="1" customWidth="1"/>
  </cols>
  <sheetData>
    <row r="1" spans="1:2" x14ac:dyDescent="0.15">
      <c r="A1" t="s">
        <v>19</v>
      </c>
      <c r="B1" t="s">
        <v>14</v>
      </c>
    </row>
    <row r="2" spans="1:2" x14ac:dyDescent="0.15">
      <c r="A2" t="s">
        <v>20</v>
      </c>
      <c r="B2">
        <v>2018</v>
      </c>
    </row>
    <row r="4" spans="1:2" x14ac:dyDescent="0.15">
      <c r="A4" s="1" t="s">
        <v>33</v>
      </c>
    </row>
    <row r="5" spans="1:2" x14ac:dyDescent="0.15">
      <c r="A5" t="s">
        <v>21</v>
      </c>
      <c r="B5">
        <f>SUMIFS(FinancialModel!C2:C1000, FinancialModel!B2:B1000, Dashboard!B2)</f>
        <v>44200000</v>
      </c>
    </row>
    <row r="6" spans="1:2" x14ac:dyDescent="0.15">
      <c r="A6" t="s">
        <v>22</v>
      </c>
      <c r="B6">
        <f>SUMIFS(FinancialModel!M2:M1000, FinancialModel!B2:B1000, Dashboard!B2)</f>
        <v>1906337500</v>
      </c>
    </row>
    <row r="7" spans="1:2" x14ac:dyDescent="0.15">
      <c r="A7" t="s">
        <v>23</v>
      </c>
      <c r="B7">
        <f>SUMIFS(FinancialModel!N2:N1000, FinancialModel!B2:B1000, Dashboard!B2)</f>
        <v>441462500</v>
      </c>
    </row>
    <row r="11" spans="1:2" x14ac:dyDescent="0.15">
      <c r="A11" t="s">
        <v>4</v>
      </c>
      <c r="B11">
        <f>SUMIFS(FinancialModel!N2:N1000, FinancialModel!A2:A1000, "Universal Studios Japan", FinancialModel!B2:B1000, Dashboard!B2)</f>
        <v>1962500</v>
      </c>
    </row>
    <row r="12" spans="1:2" x14ac:dyDescent="0.15">
      <c r="A12" t="s">
        <v>6</v>
      </c>
      <c r="B12">
        <f>SUMIFS(FinancialModel!N2:N1000, FinancialModel!A2:A1000, "Universal Studios Florida", FinancialModel!B2:B1000, Dashboard!B2)</f>
        <v>156500000</v>
      </c>
    </row>
    <row r="13" spans="1:2" x14ac:dyDescent="0.15">
      <c r="A13" t="s">
        <v>8</v>
      </c>
      <c r="B13">
        <f>SUMIFS(FinancialModel!N2:N1000, FinancialModel!A2:A1000, "Islands of Adventure", FinancialModel!B2:B1000, Dashboard!B2)</f>
        <v>147500000</v>
      </c>
    </row>
    <row r="14" spans="1:2" x14ac:dyDescent="0.15">
      <c r="A14" t="s">
        <v>9</v>
      </c>
      <c r="B14">
        <f>SUMIFS(FinancialModel!N2:N1000, FinancialModel!A2:A1000, "Universal Studios Hollywood", FinancialModel!B2:B1000, Dashboard!B2)</f>
        <v>135500000</v>
      </c>
    </row>
    <row r="31" spans="1:2" x14ac:dyDescent="0.15">
      <c r="A31">
        <v>2016</v>
      </c>
      <c r="B31">
        <f>SUMIFS(FinancialModel!M2:M1000, FinancialModel!B2:B1000, 2016)</f>
        <v>1840872750</v>
      </c>
    </row>
    <row r="32" spans="1:2" x14ac:dyDescent="0.15">
      <c r="A32">
        <v>2017</v>
      </c>
      <c r="B32">
        <f>SUMIFS(FinancialModel!M2:M1000, FinancialModel!B2:B1000, 2017)</f>
        <v>1873626250</v>
      </c>
    </row>
    <row r="33" spans="1:2" x14ac:dyDescent="0.15">
      <c r="A33">
        <v>2018</v>
      </c>
      <c r="B33">
        <f>SUMIFS(FinancialModel!M2:M1000, FinancialModel!B2:B1000, 2018)</f>
        <v>1906337500</v>
      </c>
    </row>
    <row r="34" spans="1:2" x14ac:dyDescent="0.15">
      <c r="A34">
        <v>2019</v>
      </c>
      <c r="B34">
        <f>SUMIFS(FinancialModel!M2:M1000, FinancialModel!B2:B1000, 2019)</f>
        <v>1794908000</v>
      </c>
    </row>
    <row r="35" spans="1:2" x14ac:dyDescent="0.15">
      <c r="A35">
        <v>2020</v>
      </c>
      <c r="B35">
        <f>SUMIFS(FinancialModel!M2:M1000, FinancialModel!B2:B1000, 2020)</f>
        <v>849535000</v>
      </c>
    </row>
    <row r="36" spans="1:2" x14ac:dyDescent="0.15">
      <c r="A36">
        <v>2021</v>
      </c>
      <c r="B36">
        <f>SUMIFS(FinancialModel!M2:M1000, FinancialModel!B2:B1000, 2021)</f>
        <v>1968592875</v>
      </c>
    </row>
    <row r="37" spans="1:2" x14ac:dyDescent="0.15">
      <c r="A37">
        <v>2022</v>
      </c>
      <c r="B37">
        <f>SUMIFS(FinancialModel!M2:M1000, FinancialModel!B2:B1000, 2022)</f>
        <v>2016837500</v>
      </c>
    </row>
    <row r="38" spans="1:2" x14ac:dyDescent="0.15">
      <c r="A38">
        <v>2023</v>
      </c>
      <c r="B38">
        <f>SUMIFS(FinancialModel!M2:M1000, FinancialModel!B2:B1000, 2023)</f>
        <v>1920410000</v>
      </c>
    </row>
  </sheetData>
  <phoneticPr fontId="1" type="noConversion"/>
  <dataValidations count="2">
    <dataValidation type="list" allowBlank="1" showInputMessage="1" showErrorMessage="1" sqref="B1" xr:uid="{00000000-0002-0000-0300-000000000000}">
      <formula1>"Base Case,Optimistic,Worst Case"</formula1>
    </dataValidation>
    <dataValidation type="list" allowBlank="1" showInputMessage="1" showErrorMessage="1" sqref="B2" xr:uid="{00000000-0002-0000-0300-000001000000}">
      <formula1>"2016,2017,2018,2019,2020,2021,2022,2023"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Assumptions</vt:lpstr>
      <vt:lpstr>FinancialModel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wang</cp:lastModifiedBy>
  <dcterms:created xsi:type="dcterms:W3CDTF">2025-04-13T04:30:11Z</dcterms:created>
  <dcterms:modified xsi:type="dcterms:W3CDTF">2025-04-13T04:35:44Z</dcterms:modified>
</cp:coreProperties>
</file>