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2"/>
  </bookViews>
  <sheets>
    <sheet name="流水" sheetId="1" r:id="rId1"/>
    <sheet name="日投产比" sheetId="4" r:id="rId2"/>
    <sheet name="成本价" sheetId="2" r:id="rId3"/>
    <sheet name="周报" sheetId="3" r:id="rId4"/>
    <sheet name="百洁布流水" sheetId="5" r:id="rId5"/>
  </sheets>
  <definedNames>
    <definedName name="_xlnm._FilterDatabase" localSheetId="0" hidden="1">流水!$A$1:$R$2457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<sst xmlns="http://schemas.openxmlformats.org/spreadsheetml/2006/main" count="3147" uniqueCount="190">
  <si>
    <t>周</t>
  </si>
  <si>
    <t>日期</t>
  </si>
  <si>
    <t>规格</t>
  </si>
  <si>
    <t>成本价</t>
  </si>
  <si>
    <t>售价</t>
  </si>
  <si>
    <t>邮费</t>
  </si>
  <si>
    <t>利润</t>
  </si>
  <si>
    <t>数量</t>
  </si>
  <si>
    <t>推广费</t>
  </si>
  <si>
    <t>总销售额</t>
  </si>
  <si>
    <t>实际应设</t>
  </si>
  <si>
    <t>W6</t>
  </si>
  <si>
    <t>93*75 背胶 240#-800#</t>
  </si>
  <si>
    <t>货成本</t>
  </si>
  <si>
    <t>保本投产比</t>
  </si>
  <si>
    <t>距离保本</t>
  </si>
  <si>
    <t>230*280 背胶 240#-800#</t>
  </si>
  <si>
    <t>总邮费</t>
  </si>
  <si>
    <t>最佳投产比</t>
  </si>
  <si>
    <t>距离最佳</t>
  </si>
  <si>
    <t>230*280 背胶 1000#-2000#</t>
  </si>
  <si>
    <t>最终目标</t>
  </si>
  <si>
    <t>距离最终目标</t>
  </si>
  <si>
    <t>75*25 240#-800#</t>
  </si>
  <si>
    <t>总成本</t>
  </si>
  <si>
    <t>总投产比</t>
  </si>
  <si>
    <t xml:space="preserve">                                                                                                                                                                   </t>
  </si>
  <si>
    <t>75*20 1000#-2000#</t>
  </si>
  <si>
    <t>75*25 1000#-2000#</t>
  </si>
  <si>
    <t>发货</t>
  </si>
  <si>
    <t>退款</t>
  </si>
  <si>
    <t>pdd推广费用</t>
  </si>
  <si>
    <t>补单金额</t>
  </si>
  <si>
    <t>75*20 240#-800#</t>
  </si>
  <si>
    <t>pdd推广费（不算补单）</t>
  </si>
  <si>
    <t>补单推广费</t>
  </si>
  <si>
    <t>85*25 240#-800#</t>
  </si>
  <si>
    <t>85*25 1000#-2000#</t>
  </si>
  <si>
    <t>毛利润</t>
  </si>
  <si>
    <t>毛利率</t>
  </si>
  <si>
    <t>85*20 240#-800#</t>
  </si>
  <si>
    <t>净利润</t>
  </si>
  <si>
    <t>净利润（不算补单）</t>
  </si>
  <si>
    <t>85*20 1000#-2000#</t>
  </si>
  <si>
    <t>93*75 背胶 1000#-2000#</t>
  </si>
  <si>
    <t>230*280 不背胶 240#-800#</t>
  </si>
  <si>
    <t>230*280 不背胶 1000#-2000#</t>
  </si>
  <si>
    <t>W8</t>
  </si>
  <si>
    <t>W9</t>
  </si>
  <si>
    <t>93*75 8-20</t>
  </si>
  <si>
    <t>93*75 4-20</t>
  </si>
  <si>
    <t>230*280背胶 12-20</t>
  </si>
  <si>
    <t>75*25 8-20</t>
  </si>
  <si>
    <t>85*20 4-12</t>
  </si>
  <si>
    <t>230*280背胶 8-20</t>
  </si>
  <si>
    <t>93*75 6-10</t>
  </si>
  <si>
    <t>93*75 4-8</t>
  </si>
  <si>
    <t>75*20 8-20</t>
  </si>
  <si>
    <t>230*280背胶 6-10</t>
  </si>
  <si>
    <t>75*20 4-12</t>
  </si>
  <si>
    <t>75*20 6-10</t>
  </si>
  <si>
    <t>230*280背胶 4-20</t>
  </si>
  <si>
    <t>85*25 4-8</t>
  </si>
  <si>
    <t>75*20 4/6/8</t>
  </si>
  <si>
    <t>75*25 6-10</t>
  </si>
  <si>
    <t>75*20 8-12</t>
  </si>
  <si>
    <t>75*25 4-8</t>
  </si>
  <si>
    <t>75*25 8-12</t>
  </si>
  <si>
    <t>230*280不背胶 4-20</t>
  </si>
  <si>
    <t>85*25 4-20</t>
  </si>
  <si>
    <t>85*20 4-20</t>
  </si>
  <si>
    <t>93*75 12-20</t>
  </si>
  <si>
    <t>85*20 12-20</t>
  </si>
  <si>
    <t>85*25 8-20</t>
  </si>
  <si>
    <t>tb</t>
  </si>
  <si>
    <t>75*25 4-20</t>
  </si>
  <si>
    <t>美纹纸 8/12/18/24</t>
  </si>
  <si>
    <t>美纹纸 6+8</t>
  </si>
  <si>
    <t>美纹纸 6</t>
  </si>
  <si>
    <t>75*20 4-20</t>
  </si>
  <si>
    <t>230*280背胶 4-8</t>
  </si>
  <si>
    <t>85*20 4-8</t>
  </si>
  <si>
    <t>230*280不背胶 8-20</t>
  </si>
  <si>
    <t>75*25 12-20</t>
  </si>
  <si>
    <t>85*25 12-20</t>
  </si>
  <si>
    <t>美纹纸 20/24/30</t>
  </si>
  <si>
    <t>美纹纸 6-30全套</t>
  </si>
  <si>
    <t>海绵砂 400-800</t>
  </si>
  <si>
    <t>海绵砂 1000-2000</t>
  </si>
  <si>
    <t>85*20 6-10</t>
  </si>
  <si>
    <t>75*20送打磨板</t>
  </si>
  <si>
    <t>85*20送打磨板</t>
  </si>
  <si>
    <t>75*25送打磨板</t>
  </si>
  <si>
    <t>75*5/10/15/20+砂纸</t>
  </si>
  <si>
    <t>75*20打磨板3个</t>
  </si>
  <si>
    <t>75*10打磨板3个</t>
  </si>
  <si>
    <t>75*25打磨板3个</t>
  </si>
  <si>
    <t>85*20打磨板3个</t>
  </si>
  <si>
    <t>75*25 4-12</t>
  </si>
  <si>
    <t>230*280不背胶 4-8</t>
  </si>
  <si>
    <t>75*20三条+砂纸</t>
  </si>
  <si>
    <t>75*10/15/20+砂纸</t>
  </si>
  <si>
    <t>230*280不背胶 6-10</t>
  </si>
  <si>
    <t>85*15打磨板3个</t>
  </si>
  <si>
    <t>85*10打磨板3个</t>
  </si>
  <si>
    <t>85*25 6-10</t>
  </si>
  <si>
    <t>75*20 12-20</t>
  </si>
  <si>
    <t>75*15打磨板3个</t>
  </si>
  <si>
    <t>75*10三条+砂纸</t>
  </si>
  <si>
    <t>海绵砂 4-20</t>
  </si>
  <si>
    <t>美纹纸 24</t>
  </si>
  <si>
    <t>85*25 4-12</t>
  </si>
  <si>
    <t>85*25送打磨板</t>
  </si>
  <si>
    <t>85*20 8-20</t>
  </si>
  <si>
    <t>美纹纸 8</t>
  </si>
  <si>
    <t>85*20 8-12</t>
  </si>
  <si>
    <t>成交额</t>
  </si>
  <si>
    <t>投产比</t>
  </si>
  <si>
    <t>周利润</t>
  </si>
  <si>
    <t>天干</t>
  </si>
  <si>
    <t>地支</t>
  </si>
  <si>
    <t>比肩</t>
  </si>
  <si>
    <t>正印</t>
  </si>
  <si>
    <t>劫财</t>
  </si>
  <si>
    <t>正财</t>
  </si>
  <si>
    <t>食神</t>
  </si>
  <si>
    <t>伤官</t>
  </si>
  <si>
    <t>偏财</t>
  </si>
  <si>
    <t>七杀</t>
  </si>
  <si>
    <t>正官</t>
  </si>
  <si>
    <t>偏印</t>
  </si>
  <si>
    <t>75*25</t>
  </si>
  <si>
    <t>240#-800#</t>
  </si>
  <si>
    <t>75*20</t>
  </si>
  <si>
    <t>1000#-2000#</t>
  </si>
  <si>
    <t>85*25</t>
  </si>
  <si>
    <t>85*20</t>
  </si>
  <si>
    <t>93*75</t>
  </si>
  <si>
    <t>背胶 240#-800#</t>
  </si>
  <si>
    <t>背胶 1000#-2000#</t>
  </si>
  <si>
    <t>230*280</t>
  </si>
  <si>
    <t>不背胶 240#-800#</t>
  </si>
  <si>
    <t>不背胶 1000#-2000#</t>
  </si>
  <si>
    <t>推广充值</t>
  </si>
  <si>
    <t>4/6/8</t>
  </si>
  <si>
    <t>6/8/10</t>
  </si>
  <si>
    <t>8/10/12</t>
  </si>
  <si>
    <t>12/15/20</t>
  </si>
  <si>
    <t>4/6/8/10/12</t>
  </si>
  <si>
    <t>8/10/12/15/20</t>
  </si>
  <si>
    <t>4-20</t>
  </si>
  <si>
    <t>85*25 8-12</t>
  </si>
  <si>
    <t>230*280背胶</t>
  </si>
  <si>
    <t>230*280不背胶</t>
  </si>
  <si>
    <t>230*280不背胶 12-20</t>
  </si>
  <si>
    <t>绿色</t>
  </si>
  <si>
    <t>3寸105片</t>
  </si>
  <si>
    <t>绿色 3寸105片</t>
  </si>
  <si>
    <t>4寸105片</t>
  </si>
  <si>
    <t>绿色 4寸105片</t>
  </si>
  <si>
    <t>5寸105片</t>
  </si>
  <si>
    <t>绿色 5寸105片</t>
  </si>
  <si>
    <t>4寸8片</t>
  </si>
  <si>
    <t>绿色 4寸8片</t>
  </si>
  <si>
    <t>5寸8片</t>
  </si>
  <si>
    <t>绿色 5寸8片</t>
  </si>
  <si>
    <t>红色</t>
  </si>
  <si>
    <t>红色 3寸105片</t>
  </si>
  <si>
    <t>红色 4寸105片</t>
  </si>
  <si>
    <t>红色 5寸105片</t>
  </si>
  <si>
    <t>红色 4寸8片</t>
  </si>
  <si>
    <t>红色 5寸8片</t>
  </si>
  <si>
    <t>灰色</t>
  </si>
  <si>
    <t>灰色 3寸105片</t>
  </si>
  <si>
    <t>灰色 4寸105片</t>
  </si>
  <si>
    <t>灰色 5寸105片</t>
  </si>
  <si>
    <t>灰色 4寸8片</t>
  </si>
  <si>
    <t>灰色 5寸8片</t>
  </si>
  <si>
    <t>美纹纸</t>
  </si>
  <si>
    <t>8/12/18/24</t>
  </si>
  <si>
    <t>6+8</t>
  </si>
  <si>
    <t>10/12/15/18</t>
  </si>
  <si>
    <t>美纹纸 10/12/15/18</t>
  </si>
  <si>
    <t>20/24/30</t>
  </si>
  <si>
    <t>6-30全套</t>
  </si>
  <si>
    <t>1021-1027</t>
  </si>
  <si>
    <t>1028-1103</t>
  </si>
  <si>
    <t>1104-1110</t>
  </si>
  <si>
    <t>1111-1117</t>
  </si>
  <si>
    <t>推广费用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</si>
</sst>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0"/>
    <numFmt numFmtId="179" formatCode="0.00_);[Red]\(0.00\)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1" fillId="0" borderId="1" xfId="0" applyNumberFormat="1" applyFont="1" applyBorder="1">
      <alignment vertical="center"/>
    </xf>
    <xf numFmtId="0" fontId="1" fillId="0" borderId="0" xfId="0" applyFont="1" applyAlignment="1">
      <alignment horizontal="right" vertical="center"/>
    </xf>
    <xf numFmtId="49" fontId="1" fillId="0" borderId="0" xfId="0" applyNumberFormat="1" applyFo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58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178" fontId="2" fillId="5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8" fontId="2" fillId="4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178" fontId="2" fillId="6" borderId="0" xfId="0" applyNumberFormat="1" applyFont="1" applyFill="1">
      <alignment vertical="center"/>
    </xf>
    <xf numFmtId="178" fontId="2" fillId="3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178" fontId="0" fillId="0" borderId="0" xfId="0" applyNumberFormat="1" applyAlignment="1">
      <alignment horizontal="center" vertical="center"/>
    </xf>
    <xf numFmtId="9" fontId="0" fillId="0" borderId="0" xfId="3" applyFont="1">
      <alignment vertical="center"/>
    </xf>
    <xf numFmtId="0" fontId="0" fillId="7" borderId="0" xfId="0" applyFill="1">
      <alignment vertical="center"/>
    </xf>
    <xf numFmtId="58" fontId="0" fillId="7" borderId="0" xfId="0" applyNumberFormat="1" applyFill="1">
      <alignment vertical="center"/>
    </xf>
    <xf numFmtId="0" fontId="1" fillId="8" borderId="0" xfId="0" applyFont="1" applyFill="1" applyAlignment="1">
      <alignment horizontal="right" vertical="center"/>
    </xf>
    <xf numFmtId="178" fontId="1" fillId="8" borderId="0" xfId="0" applyNumberFormat="1" applyFont="1" applyFill="1">
      <alignment vertical="center"/>
    </xf>
    <xf numFmtId="178" fontId="2" fillId="0" borderId="0" xfId="0" applyNumberFormat="1" applyFont="1">
      <alignment vertical="center"/>
    </xf>
    <xf numFmtId="0" fontId="1" fillId="6" borderId="0" xfId="0" applyFont="1" applyFill="1">
      <alignment vertical="center"/>
    </xf>
    <xf numFmtId="2" fontId="0" fillId="0" borderId="0" xfId="0" applyNumberFormat="1">
      <alignment vertical="center"/>
    </xf>
    <xf numFmtId="2" fontId="2" fillId="0" borderId="0" xfId="0" applyNumberFormat="1" applyFont="1">
      <alignment vertical="center"/>
    </xf>
    <xf numFmtId="10" fontId="0" fillId="0" borderId="0" xfId="3" applyNumberFormat="1" applyFont="1">
      <alignment vertical="center"/>
    </xf>
    <xf numFmtId="177" fontId="0" fillId="0" borderId="0" xfId="0" applyNumberFormat="1">
      <alignment vertical="center"/>
    </xf>
    <xf numFmtId="0" fontId="4" fillId="6" borderId="0" xfId="0" applyFont="1" applyFill="1" applyAlignment="1">
      <alignment horizontal="right" vertical="center"/>
    </xf>
    <xf numFmtId="179" fontId="5" fillId="6" borderId="0" xfId="3" applyNumberFormat="1" applyFont="1" applyFill="1">
      <alignment vertical="center"/>
    </xf>
    <xf numFmtId="179" fontId="5" fillId="6" borderId="0" xfId="0" applyNumberFormat="1" applyFont="1" applyFill="1">
      <alignment vertical="center"/>
    </xf>
    <xf numFmtId="0" fontId="2" fillId="0" borderId="0" xfId="0" applyFont="1" applyAlignment="1">
      <alignment horizontal="left" vertical="center"/>
    </xf>
    <xf numFmtId="58" fontId="2" fillId="7" borderId="0" xfId="0" applyNumberFormat="1" applyFont="1" applyFill="1">
      <alignment vertical="center"/>
    </xf>
    <xf numFmtId="0" fontId="0" fillId="6" borderId="0" xfId="0" applyFill="1">
      <alignment vertical="center"/>
    </xf>
    <xf numFmtId="58" fontId="0" fillId="6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ont>
        <color theme="1"/>
      </font>
      <fill>
        <patternFill patternType="solid">
          <bgColor theme="7" tint="0.399945066682943"/>
        </patternFill>
      </fill>
    </dxf>
    <dxf>
      <font>
        <color theme="5"/>
      </font>
      <fill>
        <patternFill patternType="solid">
          <bgColor theme="6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日投产比!$D$1</c:f>
              <c:strCache>
                <c:ptCount val="1"/>
                <c:pt idx="0">
                  <c:v>投产比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日投产比!$A$2:$A$80</c:f>
              <c:numCache>
                <c:formatCode>m"月"d"日"</c:formatCode>
                <c:ptCount val="79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  <c:pt idx="7">
                  <c:v>45593</c:v>
                </c:pt>
                <c:pt idx="8">
                  <c:v>45594</c:v>
                </c:pt>
                <c:pt idx="9">
                  <c:v>45595</c:v>
                </c:pt>
                <c:pt idx="10">
                  <c:v>45596</c:v>
                </c:pt>
                <c:pt idx="11">
                  <c:v>45597</c:v>
                </c:pt>
                <c:pt idx="12">
                  <c:v>45598</c:v>
                </c:pt>
                <c:pt idx="13">
                  <c:v>45599</c:v>
                </c:pt>
                <c:pt idx="14">
                  <c:v>45600</c:v>
                </c:pt>
                <c:pt idx="15">
                  <c:v>45601</c:v>
                </c:pt>
                <c:pt idx="16">
                  <c:v>45602</c:v>
                </c:pt>
                <c:pt idx="17">
                  <c:v>45603</c:v>
                </c:pt>
                <c:pt idx="18">
                  <c:v>45604</c:v>
                </c:pt>
                <c:pt idx="19">
                  <c:v>45605</c:v>
                </c:pt>
                <c:pt idx="20">
                  <c:v>45606</c:v>
                </c:pt>
                <c:pt idx="21">
                  <c:v>45607</c:v>
                </c:pt>
                <c:pt idx="22">
                  <c:v>45608</c:v>
                </c:pt>
                <c:pt idx="23">
                  <c:v>45609</c:v>
                </c:pt>
                <c:pt idx="24">
                  <c:v>45610</c:v>
                </c:pt>
                <c:pt idx="25">
                  <c:v>45611</c:v>
                </c:pt>
                <c:pt idx="26">
                  <c:v>45612</c:v>
                </c:pt>
                <c:pt idx="27">
                  <c:v>45613</c:v>
                </c:pt>
                <c:pt idx="28">
                  <c:v>45614</c:v>
                </c:pt>
                <c:pt idx="29">
                  <c:v>45615</c:v>
                </c:pt>
                <c:pt idx="30">
                  <c:v>45616</c:v>
                </c:pt>
                <c:pt idx="31">
                  <c:v>45617</c:v>
                </c:pt>
                <c:pt idx="32">
                  <c:v>45618</c:v>
                </c:pt>
                <c:pt idx="33">
                  <c:v>45619</c:v>
                </c:pt>
                <c:pt idx="34">
                  <c:v>45620</c:v>
                </c:pt>
                <c:pt idx="35">
                  <c:v>45621</c:v>
                </c:pt>
                <c:pt idx="36">
                  <c:v>45622</c:v>
                </c:pt>
                <c:pt idx="37">
                  <c:v>45623</c:v>
                </c:pt>
                <c:pt idx="38">
                  <c:v>45624</c:v>
                </c:pt>
                <c:pt idx="39">
                  <c:v>45625</c:v>
                </c:pt>
                <c:pt idx="40">
                  <c:v>45626</c:v>
                </c:pt>
                <c:pt idx="41">
                  <c:v>45627</c:v>
                </c:pt>
                <c:pt idx="42">
                  <c:v>45628</c:v>
                </c:pt>
                <c:pt idx="43">
                  <c:v>45629</c:v>
                </c:pt>
                <c:pt idx="44">
                  <c:v>45630</c:v>
                </c:pt>
                <c:pt idx="45">
                  <c:v>45631</c:v>
                </c:pt>
                <c:pt idx="46">
                  <c:v>45632</c:v>
                </c:pt>
                <c:pt idx="47">
                  <c:v>45633</c:v>
                </c:pt>
                <c:pt idx="48">
                  <c:v>45634</c:v>
                </c:pt>
                <c:pt idx="49">
                  <c:v>45635</c:v>
                </c:pt>
                <c:pt idx="50">
                  <c:v>45636</c:v>
                </c:pt>
                <c:pt idx="51">
                  <c:v>45637</c:v>
                </c:pt>
                <c:pt idx="52">
                  <c:v>45638</c:v>
                </c:pt>
                <c:pt idx="53">
                  <c:v>45639</c:v>
                </c:pt>
                <c:pt idx="54">
                  <c:v>45640</c:v>
                </c:pt>
                <c:pt idx="55">
                  <c:v>45641</c:v>
                </c:pt>
                <c:pt idx="56">
                  <c:v>45642</c:v>
                </c:pt>
                <c:pt idx="57">
                  <c:v>45643</c:v>
                </c:pt>
                <c:pt idx="58">
                  <c:v>45644</c:v>
                </c:pt>
                <c:pt idx="59">
                  <c:v>45645</c:v>
                </c:pt>
                <c:pt idx="60">
                  <c:v>45646</c:v>
                </c:pt>
                <c:pt idx="61">
                  <c:v>45647</c:v>
                </c:pt>
                <c:pt idx="62">
                  <c:v>45648</c:v>
                </c:pt>
                <c:pt idx="63">
                  <c:v>45649</c:v>
                </c:pt>
                <c:pt idx="64">
                  <c:v>45650</c:v>
                </c:pt>
                <c:pt idx="65">
                  <c:v>45651</c:v>
                </c:pt>
                <c:pt idx="66">
                  <c:v>45652</c:v>
                </c:pt>
                <c:pt idx="67">
                  <c:v>45653</c:v>
                </c:pt>
                <c:pt idx="68">
                  <c:v>45654</c:v>
                </c:pt>
                <c:pt idx="69">
                  <c:v>45655</c:v>
                </c:pt>
                <c:pt idx="70">
                  <c:v>45656</c:v>
                </c:pt>
                <c:pt idx="71">
                  <c:v>45657</c:v>
                </c:pt>
                <c:pt idx="72">
                  <c:v>45658</c:v>
                </c:pt>
                <c:pt idx="73">
                  <c:v>45659</c:v>
                </c:pt>
                <c:pt idx="74">
                  <c:v>45660</c:v>
                </c:pt>
                <c:pt idx="75">
                  <c:v>45661</c:v>
                </c:pt>
                <c:pt idx="76">
                  <c:v>45662</c:v>
                </c:pt>
                <c:pt idx="77">
                  <c:v>45663</c:v>
                </c:pt>
                <c:pt idx="78">
                  <c:v>45664</c:v>
                </c:pt>
              </c:numCache>
            </c:numRef>
          </c:xVal>
          <c:yVal>
            <c:numRef>
              <c:f>日投产比!$D$2:$D$80</c:f>
              <c:numCache>
                <c:formatCode>0.000</c:formatCode>
                <c:ptCount val="79"/>
                <c:pt idx="0">
                  <c:v>2.70200940572894</c:v>
                </c:pt>
                <c:pt idx="1">
                  <c:v>3.70864015709376</c:v>
                </c:pt>
                <c:pt idx="2">
                  <c:v>3.05042918454936</c:v>
                </c:pt>
                <c:pt idx="3">
                  <c:v>3.16622367613985</c:v>
                </c:pt>
                <c:pt idx="4">
                  <c:v>2.59096975088968</c:v>
                </c:pt>
                <c:pt idx="5">
                  <c:v>2.12461435278337</c:v>
                </c:pt>
                <c:pt idx="6">
                  <c:v>1.99785491419657</c:v>
                </c:pt>
                <c:pt idx="7">
                  <c:v>1.12281349177061</c:v>
                </c:pt>
                <c:pt idx="8">
                  <c:v>0.782122905027933</c:v>
                </c:pt>
                <c:pt idx="9">
                  <c:v>1.88528077141236</c:v>
                </c:pt>
                <c:pt idx="10">
                  <c:v>1.85984039563898</c:v>
                </c:pt>
                <c:pt idx="11">
                  <c:v>1.24777466162663</c:v>
                </c:pt>
                <c:pt idx="12">
                  <c:v>2.30633236901318</c:v>
                </c:pt>
                <c:pt idx="13">
                  <c:v>2.29705232690989</c:v>
                </c:pt>
                <c:pt idx="14">
                  <c:v>1.95177995747308</c:v>
                </c:pt>
                <c:pt idx="15">
                  <c:v>2.11475903614458</c:v>
                </c:pt>
                <c:pt idx="16">
                  <c:v>2.12164548783114</c:v>
                </c:pt>
                <c:pt idx="17">
                  <c:v>1.86554917950267</c:v>
                </c:pt>
                <c:pt idx="18">
                  <c:v>2.065477848983</c:v>
                </c:pt>
                <c:pt idx="19">
                  <c:v>1.9494394469801</c:v>
                </c:pt>
                <c:pt idx="20">
                  <c:v>2.22252266581836</c:v>
                </c:pt>
                <c:pt idx="21">
                  <c:v>2.38808909730363</c:v>
                </c:pt>
                <c:pt idx="22">
                  <c:v>2.47395758875387</c:v>
                </c:pt>
                <c:pt idx="23">
                  <c:v>2.30655914661248</c:v>
                </c:pt>
                <c:pt idx="24">
                  <c:v>2.41107850330154</c:v>
                </c:pt>
                <c:pt idx="25">
                  <c:v>2.29275382379403</c:v>
                </c:pt>
                <c:pt idx="26">
                  <c:v>2.67583443126921</c:v>
                </c:pt>
                <c:pt idx="27">
                  <c:v>3.11916248552682</c:v>
                </c:pt>
                <c:pt idx="28">
                  <c:v>2.69456313540592</c:v>
                </c:pt>
                <c:pt idx="29">
                  <c:v>2.75587688827854</c:v>
                </c:pt>
                <c:pt idx="30">
                  <c:v>2.9632109380506</c:v>
                </c:pt>
                <c:pt idx="31">
                  <c:v>2.35497788803797</c:v>
                </c:pt>
                <c:pt idx="32">
                  <c:v>2.6198752228164</c:v>
                </c:pt>
                <c:pt idx="33">
                  <c:v>2.64041897720271</c:v>
                </c:pt>
                <c:pt idx="34">
                  <c:v>2.79269489624229</c:v>
                </c:pt>
                <c:pt idx="35">
                  <c:v>2.47420752953174</c:v>
                </c:pt>
                <c:pt idx="36">
                  <c:v>2.96745001753771</c:v>
                </c:pt>
                <c:pt idx="37">
                  <c:v>2.22718853185149</c:v>
                </c:pt>
                <c:pt idx="38">
                  <c:v>2.72287626962142</c:v>
                </c:pt>
                <c:pt idx="39">
                  <c:v>2.73380243077767</c:v>
                </c:pt>
                <c:pt idx="40">
                  <c:v>2.1882898062342</c:v>
                </c:pt>
                <c:pt idx="41">
                  <c:v>2.33416476624857</c:v>
                </c:pt>
                <c:pt idx="42">
                  <c:v>1.59374792593084</c:v>
                </c:pt>
                <c:pt idx="43">
                  <c:v>3.20586637696904</c:v>
                </c:pt>
                <c:pt idx="44">
                  <c:v>3.55947968897609</c:v>
                </c:pt>
                <c:pt idx="45">
                  <c:v>2.53705136599012</c:v>
                </c:pt>
                <c:pt idx="46">
                  <c:v>2.867064664854</c:v>
                </c:pt>
                <c:pt idx="47">
                  <c:v>2.63787434461921</c:v>
                </c:pt>
                <c:pt idx="48">
                  <c:v>3.76304688441605</c:v>
                </c:pt>
                <c:pt idx="49">
                  <c:v>1.85413447782546</c:v>
                </c:pt>
                <c:pt idx="50">
                  <c:v>2.90837952396479</c:v>
                </c:pt>
                <c:pt idx="51">
                  <c:v>4.4011589246699</c:v>
                </c:pt>
                <c:pt idx="52">
                  <c:v>2.71308783453288</c:v>
                </c:pt>
                <c:pt idx="53">
                  <c:v>2.37005262778459</c:v>
                </c:pt>
                <c:pt idx="54">
                  <c:v>3.7615033368458</c:v>
                </c:pt>
                <c:pt idx="55">
                  <c:v>2.31898051496173</c:v>
                </c:pt>
                <c:pt idx="56">
                  <c:v>2.30256719114658</c:v>
                </c:pt>
                <c:pt idx="57">
                  <c:v>3.1880399165922</c:v>
                </c:pt>
                <c:pt idx="58">
                  <c:v>2.42153552554316</c:v>
                </c:pt>
                <c:pt idx="59">
                  <c:v>2.84391576916894</c:v>
                </c:pt>
                <c:pt idx="60">
                  <c:v>2.40587806655332</c:v>
                </c:pt>
                <c:pt idx="61">
                  <c:v>3.03358474455671</c:v>
                </c:pt>
                <c:pt idx="62">
                  <c:v>2.8982230519256</c:v>
                </c:pt>
                <c:pt idx="63">
                  <c:v>2.67746185091668</c:v>
                </c:pt>
                <c:pt idx="64">
                  <c:v>2.04521881539441</c:v>
                </c:pt>
                <c:pt idx="65">
                  <c:v>3.48498888065233</c:v>
                </c:pt>
                <c:pt idx="66">
                  <c:v>2.8105577776801</c:v>
                </c:pt>
                <c:pt idx="67">
                  <c:v>2.83446728430805</c:v>
                </c:pt>
                <c:pt idx="68">
                  <c:v>2.60889894419306</c:v>
                </c:pt>
                <c:pt idx="69">
                  <c:v>3.05732768235557</c:v>
                </c:pt>
                <c:pt idx="70">
                  <c:v>2.34493104841036</c:v>
                </c:pt>
                <c:pt idx="71">
                  <c:v>3.05674358141046</c:v>
                </c:pt>
                <c:pt idx="72">
                  <c:v>3.38595921548253</c:v>
                </c:pt>
                <c:pt idx="73">
                  <c:v>2.60003603278984</c:v>
                </c:pt>
                <c:pt idx="74">
                  <c:v>2.50636169743326</c:v>
                </c:pt>
                <c:pt idx="75">
                  <c:v>3.19850622406639</c:v>
                </c:pt>
                <c:pt idx="76">
                  <c:v>3.28223270440252</c:v>
                </c:pt>
                <c:pt idx="77">
                  <c:v>3.43351436580238</c:v>
                </c:pt>
                <c:pt idx="78">
                  <c:v>2.85381330079317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77568"/>
        <c:axId val="786574328"/>
      </c:scatterChart>
      <c:valAx>
        <c:axId val="7865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574328"/>
        <c:crosses val="autoZero"/>
        <c:crossBetween val="midCat"/>
      </c:valAx>
      <c:valAx>
        <c:axId val="78657432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57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日投产比!$B$1</c:f>
              <c:strCache>
                <c:ptCount val="1"/>
                <c:pt idx="0">
                  <c:v>成交额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日投产比!$A$2:$A$80</c:f>
              <c:numCache>
                <c:formatCode>m"月"d"日"</c:formatCode>
                <c:ptCount val="79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  <c:pt idx="7">
                  <c:v>45593</c:v>
                </c:pt>
                <c:pt idx="8">
                  <c:v>45594</c:v>
                </c:pt>
                <c:pt idx="9">
                  <c:v>45595</c:v>
                </c:pt>
                <c:pt idx="10">
                  <c:v>45596</c:v>
                </c:pt>
                <c:pt idx="11">
                  <c:v>45597</c:v>
                </c:pt>
                <c:pt idx="12">
                  <c:v>45598</c:v>
                </c:pt>
                <c:pt idx="13">
                  <c:v>45599</c:v>
                </c:pt>
                <c:pt idx="14">
                  <c:v>45600</c:v>
                </c:pt>
                <c:pt idx="15">
                  <c:v>45601</c:v>
                </c:pt>
                <c:pt idx="16">
                  <c:v>45602</c:v>
                </c:pt>
                <c:pt idx="17">
                  <c:v>45603</c:v>
                </c:pt>
                <c:pt idx="18">
                  <c:v>45604</c:v>
                </c:pt>
                <c:pt idx="19">
                  <c:v>45605</c:v>
                </c:pt>
                <c:pt idx="20">
                  <c:v>45606</c:v>
                </c:pt>
                <c:pt idx="21">
                  <c:v>45607</c:v>
                </c:pt>
                <c:pt idx="22">
                  <c:v>45608</c:v>
                </c:pt>
                <c:pt idx="23">
                  <c:v>45609</c:v>
                </c:pt>
                <c:pt idx="24">
                  <c:v>45610</c:v>
                </c:pt>
                <c:pt idx="25">
                  <c:v>45611</c:v>
                </c:pt>
                <c:pt idx="26">
                  <c:v>45612</c:v>
                </c:pt>
                <c:pt idx="27">
                  <c:v>45613</c:v>
                </c:pt>
                <c:pt idx="28">
                  <c:v>45614</c:v>
                </c:pt>
                <c:pt idx="29">
                  <c:v>45615</c:v>
                </c:pt>
                <c:pt idx="30">
                  <c:v>45616</c:v>
                </c:pt>
                <c:pt idx="31">
                  <c:v>45617</c:v>
                </c:pt>
                <c:pt idx="32">
                  <c:v>45618</c:v>
                </c:pt>
                <c:pt idx="33">
                  <c:v>45619</c:v>
                </c:pt>
                <c:pt idx="34">
                  <c:v>45620</c:v>
                </c:pt>
                <c:pt idx="35">
                  <c:v>45621</c:v>
                </c:pt>
                <c:pt idx="36">
                  <c:v>45622</c:v>
                </c:pt>
                <c:pt idx="37">
                  <c:v>45623</c:v>
                </c:pt>
                <c:pt idx="38">
                  <c:v>45624</c:v>
                </c:pt>
                <c:pt idx="39">
                  <c:v>45625</c:v>
                </c:pt>
                <c:pt idx="40">
                  <c:v>45626</c:v>
                </c:pt>
                <c:pt idx="41">
                  <c:v>45627</c:v>
                </c:pt>
                <c:pt idx="42">
                  <c:v>45628</c:v>
                </c:pt>
                <c:pt idx="43">
                  <c:v>45629</c:v>
                </c:pt>
                <c:pt idx="44">
                  <c:v>45630</c:v>
                </c:pt>
                <c:pt idx="45">
                  <c:v>45631</c:v>
                </c:pt>
                <c:pt idx="46">
                  <c:v>45632</c:v>
                </c:pt>
                <c:pt idx="47">
                  <c:v>45633</c:v>
                </c:pt>
                <c:pt idx="48">
                  <c:v>45634</c:v>
                </c:pt>
                <c:pt idx="49">
                  <c:v>45635</c:v>
                </c:pt>
                <c:pt idx="50">
                  <c:v>45636</c:v>
                </c:pt>
                <c:pt idx="51">
                  <c:v>45637</c:v>
                </c:pt>
                <c:pt idx="52">
                  <c:v>45638</c:v>
                </c:pt>
                <c:pt idx="53">
                  <c:v>45639</c:v>
                </c:pt>
                <c:pt idx="54">
                  <c:v>45640</c:v>
                </c:pt>
                <c:pt idx="55">
                  <c:v>45641</c:v>
                </c:pt>
                <c:pt idx="56">
                  <c:v>45642</c:v>
                </c:pt>
                <c:pt idx="57">
                  <c:v>45643</c:v>
                </c:pt>
                <c:pt idx="58">
                  <c:v>45644</c:v>
                </c:pt>
                <c:pt idx="59">
                  <c:v>45645</c:v>
                </c:pt>
                <c:pt idx="60">
                  <c:v>45646</c:v>
                </c:pt>
                <c:pt idx="61">
                  <c:v>45647</c:v>
                </c:pt>
                <c:pt idx="62">
                  <c:v>45648</c:v>
                </c:pt>
                <c:pt idx="63">
                  <c:v>45649</c:v>
                </c:pt>
                <c:pt idx="64">
                  <c:v>45650</c:v>
                </c:pt>
                <c:pt idx="65">
                  <c:v>45651</c:v>
                </c:pt>
                <c:pt idx="66">
                  <c:v>45652</c:v>
                </c:pt>
                <c:pt idx="67">
                  <c:v>45653</c:v>
                </c:pt>
                <c:pt idx="68">
                  <c:v>45654</c:v>
                </c:pt>
                <c:pt idx="69">
                  <c:v>45655</c:v>
                </c:pt>
                <c:pt idx="70">
                  <c:v>45656</c:v>
                </c:pt>
                <c:pt idx="71">
                  <c:v>45657</c:v>
                </c:pt>
                <c:pt idx="72">
                  <c:v>45658</c:v>
                </c:pt>
                <c:pt idx="73">
                  <c:v>45659</c:v>
                </c:pt>
                <c:pt idx="74">
                  <c:v>45660</c:v>
                </c:pt>
                <c:pt idx="75">
                  <c:v>45661</c:v>
                </c:pt>
                <c:pt idx="76">
                  <c:v>45662</c:v>
                </c:pt>
                <c:pt idx="77">
                  <c:v>45663</c:v>
                </c:pt>
                <c:pt idx="78">
                  <c:v>45664</c:v>
                </c:pt>
              </c:numCache>
            </c:numRef>
          </c:xVal>
          <c:yVal>
            <c:numRef>
              <c:f>日投产比!$B$2:$B$80</c:f>
              <c:numCache>
                <c:formatCode>General</c:formatCode>
                <c:ptCount val="79"/>
                <c:pt idx="0">
                  <c:v>63.2</c:v>
                </c:pt>
                <c:pt idx="1">
                  <c:v>151.09</c:v>
                </c:pt>
                <c:pt idx="2">
                  <c:v>199.01</c:v>
                </c:pt>
                <c:pt idx="3">
                  <c:v>154.86</c:v>
                </c:pt>
                <c:pt idx="4">
                  <c:v>116.49</c:v>
                </c:pt>
                <c:pt idx="5">
                  <c:v>158.39</c:v>
                </c:pt>
                <c:pt idx="6">
                  <c:v>102.45</c:v>
                </c:pt>
                <c:pt idx="7">
                  <c:v>152.13</c:v>
                </c:pt>
                <c:pt idx="8">
                  <c:v>105</c:v>
                </c:pt>
                <c:pt idx="9">
                  <c:v>132.95</c:v>
                </c:pt>
                <c:pt idx="10">
                  <c:v>165.47</c:v>
                </c:pt>
                <c:pt idx="11">
                  <c:v>102.33</c:v>
                </c:pt>
                <c:pt idx="12">
                  <c:v>143.5</c:v>
                </c:pt>
                <c:pt idx="13">
                  <c:v>301.58</c:v>
                </c:pt>
                <c:pt idx="14">
                  <c:v>284.55</c:v>
                </c:pt>
                <c:pt idx="15">
                  <c:v>351.05</c:v>
                </c:pt>
                <c:pt idx="16">
                  <c:v>492.54</c:v>
                </c:pt>
                <c:pt idx="17">
                  <c:v>370.61</c:v>
                </c:pt>
                <c:pt idx="18">
                  <c:v>296.52</c:v>
                </c:pt>
                <c:pt idx="19">
                  <c:v>439.93</c:v>
                </c:pt>
                <c:pt idx="20">
                  <c:v>419.19</c:v>
                </c:pt>
                <c:pt idx="21">
                  <c:v>509.26</c:v>
                </c:pt>
                <c:pt idx="22">
                  <c:v>519.16</c:v>
                </c:pt>
                <c:pt idx="23">
                  <c:v>363.26</c:v>
                </c:pt>
                <c:pt idx="24">
                  <c:v>328.63</c:v>
                </c:pt>
                <c:pt idx="25">
                  <c:v>331.28</c:v>
                </c:pt>
                <c:pt idx="26">
                  <c:v>487.43</c:v>
                </c:pt>
                <c:pt idx="27">
                  <c:v>323.27</c:v>
                </c:pt>
                <c:pt idx="28">
                  <c:v>365.76</c:v>
                </c:pt>
                <c:pt idx="29">
                  <c:v>341.15</c:v>
                </c:pt>
                <c:pt idx="30">
                  <c:v>420.45</c:v>
                </c:pt>
                <c:pt idx="31">
                  <c:v>218.33</c:v>
                </c:pt>
                <c:pt idx="32">
                  <c:v>235.16</c:v>
                </c:pt>
                <c:pt idx="33">
                  <c:v>214.27</c:v>
                </c:pt>
                <c:pt idx="34">
                  <c:v>398.35</c:v>
                </c:pt>
                <c:pt idx="35">
                  <c:v>291.14</c:v>
                </c:pt>
                <c:pt idx="36">
                  <c:v>423.01</c:v>
                </c:pt>
                <c:pt idx="37">
                  <c:v>276.55</c:v>
                </c:pt>
                <c:pt idx="38">
                  <c:v>235.91</c:v>
                </c:pt>
                <c:pt idx="39">
                  <c:v>299.16</c:v>
                </c:pt>
                <c:pt idx="40">
                  <c:v>207.8</c:v>
                </c:pt>
                <c:pt idx="41">
                  <c:v>327.53</c:v>
                </c:pt>
                <c:pt idx="42">
                  <c:v>240.13</c:v>
                </c:pt>
                <c:pt idx="43">
                  <c:v>413.14</c:v>
                </c:pt>
                <c:pt idx="44">
                  <c:v>489.82</c:v>
                </c:pt>
                <c:pt idx="45">
                  <c:v>426.25</c:v>
                </c:pt>
                <c:pt idx="46">
                  <c:v>485.05</c:v>
                </c:pt>
                <c:pt idx="47">
                  <c:v>296.84</c:v>
                </c:pt>
                <c:pt idx="48">
                  <c:v>312.22</c:v>
                </c:pt>
                <c:pt idx="49">
                  <c:v>324.01</c:v>
                </c:pt>
                <c:pt idx="50">
                  <c:v>267.6</c:v>
                </c:pt>
                <c:pt idx="51">
                  <c:v>463.31</c:v>
                </c:pt>
                <c:pt idx="52">
                  <c:v>388.27</c:v>
                </c:pt>
                <c:pt idx="53">
                  <c:v>328.75</c:v>
                </c:pt>
                <c:pt idx="54">
                  <c:v>428.36</c:v>
                </c:pt>
                <c:pt idx="55">
                  <c:v>266.59</c:v>
                </c:pt>
                <c:pt idx="56">
                  <c:v>305.85</c:v>
                </c:pt>
                <c:pt idx="57">
                  <c:v>428.09</c:v>
                </c:pt>
                <c:pt idx="58">
                  <c:v>329.91</c:v>
                </c:pt>
                <c:pt idx="59">
                  <c:v>353.84</c:v>
                </c:pt>
                <c:pt idx="60">
                  <c:v>495.25</c:v>
                </c:pt>
                <c:pt idx="61">
                  <c:v>426.34</c:v>
                </c:pt>
                <c:pt idx="62">
                  <c:v>419.17</c:v>
                </c:pt>
                <c:pt idx="63">
                  <c:v>243.89</c:v>
                </c:pt>
                <c:pt idx="64">
                  <c:v>224.79</c:v>
                </c:pt>
                <c:pt idx="65">
                  <c:v>376.1</c:v>
                </c:pt>
                <c:pt idx="66">
                  <c:v>639.43</c:v>
                </c:pt>
                <c:pt idx="67">
                  <c:v>391.61</c:v>
                </c:pt>
                <c:pt idx="68">
                  <c:v>691.88</c:v>
                </c:pt>
                <c:pt idx="69">
                  <c:v>411.18</c:v>
                </c:pt>
                <c:pt idx="70">
                  <c:v>406.4</c:v>
                </c:pt>
                <c:pt idx="71">
                  <c:v>470.28</c:v>
                </c:pt>
                <c:pt idx="72">
                  <c:v>521.37</c:v>
                </c:pt>
                <c:pt idx="73">
                  <c:v>577.26</c:v>
                </c:pt>
                <c:pt idx="74">
                  <c:v>340.79</c:v>
                </c:pt>
                <c:pt idx="75">
                  <c:v>385.42</c:v>
                </c:pt>
                <c:pt idx="76">
                  <c:v>501</c:v>
                </c:pt>
                <c:pt idx="77">
                  <c:v>783.94</c:v>
                </c:pt>
                <c:pt idx="78">
                  <c:v>467.74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51008"/>
        <c:axId val="787445968"/>
      </c:scatterChart>
      <c:valAx>
        <c:axId val="7874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445968"/>
        <c:crosses val="autoZero"/>
        <c:crossBetween val="midCat"/>
      </c:valAx>
      <c:valAx>
        <c:axId val="787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4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5067935" y="177800"/>
        <a:ext cx="470535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</xdr:row>
      <xdr:rowOff>0</xdr:rowOff>
    </xdr:from>
    <xdr:to>
      <xdr:col>22</xdr:col>
      <xdr:colOff>601980</xdr:colOff>
      <xdr:row>16</xdr:row>
      <xdr:rowOff>0</xdr:rowOff>
    </xdr:to>
    <xdr:graphicFrame>
      <xdr:nvGraphicFramePr>
        <xdr:cNvPr id="3" name="图表 2"/>
        <xdr:cNvGraphicFramePr/>
      </xdr:nvGraphicFramePr>
      <xdr:xfrm>
        <a:off x="9765665" y="177800"/>
        <a:ext cx="470535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11"/>
  <sheetViews>
    <sheetView workbookViewId="0">
      <pane xSplit="9" ySplit="14" topLeftCell="J33" activePane="bottomRight" state="frozen"/>
      <selection/>
      <selection pane="topRight"/>
      <selection pane="bottomLeft"/>
      <selection pane="bottomRight" activeCell="A2" sqref="A2:S38"/>
    </sheetView>
  </sheetViews>
  <sheetFormatPr defaultColWidth="9" defaultRowHeight="14"/>
  <cols>
    <col min="2" max="2" width="9.55454545454545"/>
    <col min="3" max="3" width="27.5545454545455" customWidth="1"/>
    <col min="11" max="11" width="19" customWidth="1"/>
    <col min="12" max="12" width="11" customWidth="1"/>
    <col min="14" max="14" width="16" customWidth="1"/>
    <col min="16" max="16" width="9.55454545454545" customWidth="1"/>
    <col min="17" max="17" width="13.8909090909091" customWidth="1"/>
    <col min="18" max="18" width="7.5545454545454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>
        <f>SUM(E:E)</f>
        <v>34976.1500000001</v>
      </c>
      <c r="P1" s="30" t="s">
        <v>10</v>
      </c>
    </row>
    <row r="2" spans="1:18">
      <c r="A2" s="28" t="s">
        <v>11</v>
      </c>
      <c r="B2" s="29">
        <v>45586</v>
      </c>
      <c r="C2" t="s">
        <v>12</v>
      </c>
      <c r="D2">
        <f>VLOOKUP(C2,成本价!$C$2:$D$15,2,0)*H2</f>
        <v>1.161</v>
      </c>
      <c r="E2">
        <v>11.3</v>
      </c>
      <c r="G2">
        <f>E2-D2-F2</f>
        <v>10.139</v>
      </c>
      <c r="H2">
        <v>3</v>
      </c>
      <c r="K2" s="1" t="s">
        <v>13</v>
      </c>
      <c r="L2">
        <f>SUMIF(D:D,"&lt;&gt;100")</f>
        <v>12079.4204</v>
      </c>
      <c r="N2" s="2" t="s">
        <v>14</v>
      </c>
      <c r="O2" s="15">
        <f>($L$1/($L$1-$L$5))</f>
        <v>2.39483451419385</v>
      </c>
      <c r="P2" s="31">
        <f>O2/0.85</f>
        <v>2.81745236963982</v>
      </c>
      <c r="Q2" s="38" t="s">
        <v>15</v>
      </c>
      <c r="R2" s="39">
        <f>O2-O5</f>
        <v>-0.552428248191348</v>
      </c>
    </row>
    <row r="3" spans="2:18">
      <c r="B3" s="3">
        <v>45586</v>
      </c>
      <c r="C3" t="s">
        <v>16</v>
      </c>
      <c r="D3">
        <f>VLOOKUP(C3,成本价!$C$2:$D$15,2,0)*H3</f>
        <v>5.4</v>
      </c>
      <c r="E3">
        <v>16.3</v>
      </c>
      <c r="G3">
        <f t="shared" ref="G3:G70" si="0">E3-D3</f>
        <v>10.9</v>
      </c>
      <c r="H3">
        <v>2</v>
      </c>
      <c r="K3" s="1" t="s">
        <v>17</v>
      </c>
      <c r="L3">
        <f>SUM(F:F)</f>
        <v>8291.89999999998</v>
      </c>
      <c r="N3" s="2" t="s">
        <v>18</v>
      </c>
      <c r="O3" s="32">
        <f>O2*1.2</f>
        <v>2.87380141703261</v>
      </c>
      <c r="P3" s="31">
        <f>O3/0.85</f>
        <v>3.38094284356778</v>
      </c>
      <c r="Q3" s="38" t="s">
        <v>19</v>
      </c>
      <c r="R3" s="40">
        <f>O3-O5</f>
        <v>-0.073461345352579</v>
      </c>
    </row>
    <row r="4" spans="2:18">
      <c r="B4" s="3">
        <v>45586</v>
      </c>
      <c r="C4" t="s">
        <v>20</v>
      </c>
      <c r="D4">
        <f>VLOOKUP(C4,成本价!$C$2:$D$15,2,0)*H4</f>
        <v>3</v>
      </c>
      <c r="E4">
        <v>0</v>
      </c>
      <c r="G4">
        <f t="shared" si="0"/>
        <v>-3</v>
      </c>
      <c r="H4">
        <v>1</v>
      </c>
      <c r="N4" s="2" t="s">
        <v>21</v>
      </c>
      <c r="O4" s="15">
        <f>O2*1.5</f>
        <v>3.59225177129077</v>
      </c>
      <c r="P4" s="31">
        <f>O4/0.85</f>
        <v>4.22617855445973</v>
      </c>
      <c r="Q4" s="38" t="s">
        <v>22</v>
      </c>
      <c r="R4" s="40">
        <f>O4-O5</f>
        <v>0.644989008905575</v>
      </c>
    </row>
    <row r="5" spans="2:18">
      <c r="B5" s="3">
        <v>45586</v>
      </c>
      <c r="C5" t="s">
        <v>23</v>
      </c>
      <c r="D5">
        <f>VLOOKUP(C5,成本价!$C$2:$D$15,2,0)*H5</f>
        <v>2.08</v>
      </c>
      <c r="E5">
        <v>7.56</v>
      </c>
      <c r="G5">
        <f t="shared" si="0"/>
        <v>5.48</v>
      </c>
      <c r="H5">
        <v>1</v>
      </c>
      <c r="K5" s="1" t="s">
        <v>24</v>
      </c>
      <c r="L5">
        <f>L2+L3</f>
        <v>20371.3204</v>
      </c>
      <c r="N5" s="33" t="s">
        <v>25</v>
      </c>
      <c r="O5" s="15">
        <f>L1/L11</f>
        <v>2.94726276238519</v>
      </c>
      <c r="P5" s="1"/>
      <c r="R5" s="2" t="s">
        <v>26</v>
      </c>
    </row>
    <row r="6" spans="2:16">
      <c r="B6" s="3">
        <v>45586</v>
      </c>
      <c r="C6" t="s">
        <v>27</v>
      </c>
      <c r="D6">
        <f>VLOOKUP(C6,成本价!$C$2:$D$15,2,0)*H6</f>
        <v>1.8</v>
      </c>
      <c r="E6">
        <v>3.76</v>
      </c>
      <c r="G6">
        <f t="shared" si="0"/>
        <v>1.96</v>
      </c>
      <c r="H6">
        <v>1</v>
      </c>
      <c r="N6" s="1"/>
      <c r="P6" s="1"/>
    </row>
    <row r="7" spans="2:16">
      <c r="B7" s="3">
        <v>45586</v>
      </c>
      <c r="C7" t="s">
        <v>23</v>
      </c>
      <c r="D7">
        <f>VLOOKUP(C7,成本价!$C$2:$D$15,2,0)*H7</f>
        <v>2.08</v>
      </c>
      <c r="E7">
        <v>36.18</v>
      </c>
      <c r="G7">
        <f t="shared" si="0"/>
        <v>34.1</v>
      </c>
      <c r="H7">
        <v>1</v>
      </c>
      <c r="N7" s="1"/>
      <c r="P7" s="1"/>
    </row>
    <row r="8" spans="2:16">
      <c r="B8" s="3">
        <v>45586</v>
      </c>
      <c r="C8" t="s">
        <v>28</v>
      </c>
      <c r="D8">
        <f>VLOOKUP(C8,成本价!$C$2:$D$15,2,0)*H8</f>
        <v>8.88</v>
      </c>
      <c r="E8">
        <v>0</v>
      </c>
      <c r="G8">
        <f t="shared" si="0"/>
        <v>-8.88</v>
      </c>
      <c r="H8">
        <v>4</v>
      </c>
      <c r="O8" s="10" t="s">
        <v>29</v>
      </c>
      <c r="P8" s="10" t="s">
        <v>30</v>
      </c>
    </row>
    <row r="9" spans="2:16">
      <c r="B9" s="3">
        <v>45586</v>
      </c>
      <c r="I9">
        <f>18.95+4.44</f>
        <v>23.39</v>
      </c>
      <c r="K9" s="1" t="s">
        <v>31</v>
      </c>
      <c r="L9">
        <f>SUM(I:I)</f>
        <v>12224.76</v>
      </c>
      <c r="N9" s="1" t="s">
        <v>32</v>
      </c>
      <c r="O9">
        <f>8.9+5.5+5+24.38+16.28+13.4+22+14.3+25+7.19+5.86+4.34+6.22+37.98+41.6+7+9.99+4.49</f>
        <v>259.43</v>
      </c>
      <c r="P9">
        <f>2.52+188.26+79.46+35.63+19.65+5.68+4.41+2.57+2.62+4.88+8.6+37.37+10.46+29.1+16.28+29.9+11.99+41.6+17.3+7.6+10.46+40.9+29.1+10.4+16.6+6.21+6.35+5.74+48.84+77.4+18.4+17.8+47.2+6.74+4.94+6.46+4+3.38+10.5+6.46+5.36+3.36+4.46+10.03</f>
        <v>956.97</v>
      </c>
    </row>
    <row r="10" spans="2:14">
      <c r="B10" s="29">
        <v>45587</v>
      </c>
      <c r="C10" t="s">
        <v>33</v>
      </c>
      <c r="D10">
        <f>VLOOKUP(C10,成本价!$C$2:$D$15,2,0)*H10</f>
        <v>3.4</v>
      </c>
      <c r="E10">
        <v>15</v>
      </c>
      <c r="G10">
        <f t="shared" si="0"/>
        <v>11.6</v>
      </c>
      <c r="H10">
        <v>2</v>
      </c>
      <c r="K10" s="1"/>
      <c r="N10" s="1"/>
    </row>
    <row r="11" spans="2:15">
      <c r="B11" s="3">
        <v>45587</v>
      </c>
      <c r="C11" t="s">
        <v>27</v>
      </c>
      <c r="D11">
        <f>VLOOKUP(C11,成本价!$C$2:$D$15,2,0)*H11</f>
        <v>1.8</v>
      </c>
      <c r="E11">
        <v>0</v>
      </c>
      <c r="G11">
        <f t="shared" si="0"/>
        <v>-1.8</v>
      </c>
      <c r="H11">
        <v>1</v>
      </c>
      <c r="K11" s="1" t="s">
        <v>34</v>
      </c>
      <c r="L11" s="34">
        <f>L9-O11</f>
        <v>11867.3334615385</v>
      </c>
      <c r="N11" s="1" t="s">
        <v>35</v>
      </c>
      <c r="O11" s="35">
        <f>O9/2.6+P9/2.6*0.7</f>
        <v>357.426538461538</v>
      </c>
    </row>
    <row r="12" spans="2:8">
      <c r="B12" s="3">
        <v>45587</v>
      </c>
      <c r="C12" t="s">
        <v>36</v>
      </c>
      <c r="D12">
        <f>VLOOKUP(C12,成本价!$C$2:$D$15,2,0)*H12</f>
        <v>2.32</v>
      </c>
      <c r="E12">
        <v>26.83</v>
      </c>
      <c r="G12">
        <f t="shared" si="0"/>
        <v>24.51</v>
      </c>
      <c r="H12">
        <v>1</v>
      </c>
    </row>
    <row r="13" spans="2:15">
      <c r="B13" s="3">
        <v>45587</v>
      </c>
      <c r="C13" t="s">
        <v>37</v>
      </c>
      <c r="D13">
        <f>VLOOKUP(C13,成本价!$C$2:$D$15,2,0)*H13</f>
        <v>10.16</v>
      </c>
      <c r="E13">
        <v>0</v>
      </c>
      <c r="G13">
        <f t="shared" si="0"/>
        <v>-10.16</v>
      </c>
      <c r="H13">
        <v>4</v>
      </c>
      <c r="K13" s="1" t="s">
        <v>38</v>
      </c>
      <c r="L13" s="15">
        <f>L1-L5</f>
        <v>14604.8296000001</v>
      </c>
      <c r="N13" s="1" t="s">
        <v>39</v>
      </c>
      <c r="O13" s="36">
        <f>L13/L1</f>
        <v>0.417565386699223</v>
      </c>
    </row>
    <row r="14" spans="2:12">
      <c r="B14" s="3">
        <v>45587</v>
      </c>
      <c r="C14" t="s">
        <v>40</v>
      </c>
      <c r="D14">
        <f>VLOOKUP(C14,成本价!$C$2:$D$15,2,0)*H14</f>
        <v>1.88</v>
      </c>
      <c r="E14">
        <v>5.8</v>
      </c>
      <c r="G14">
        <f t="shared" si="0"/>
        <v>3.92</v>
      </c>
      <c r="H14">
        <v>1</v>
      </c>
      <c r="K14" s="1" t="s">
        <v>41</v>
      </c>
      <c r="L14" s="37">
        <f>L1-L5-L11</f>
        <v>2737.49613846162</v>
      </c>
    </row>
    <row r="15" spans="2:14">
      <c r="B15" s="3">
        <v>45587</v>
      </c>
      <c r="C15" t="s">
        <v>40</v>
      </c>
      <c r="D15">
        <f>VLOOKUP(C15,成本价!$C$2:$D$15,2,0)*H15</f>
        <v>1.88</v>
      </c>
      <c r="E15">
        <v>5.8</v>
      </c>
      <c r="G15">
        <f t="shared" si="0"/>
        <v>3.92</v>
      </c>
      <c r="H15">
        <v>1</v>
      </c>
      <c r="K15" s="1" t="s">
        <v>42</v>
      </c>
      <c r="L15" s="15">
        <f>L14+O11</f>
        <v>3094.92267692316</v>
      </c>
      <c r="N15" s="1"/>
    </row>
    <row r="16" spans="2:8">
      <c r="B16" s="3">
        <v>45587</v>
      </c>
      <c r="C16" t="s">
        <v>33</v>
      </c>
      <c r="D16">
        <f>VLOOKUP(C16,成本价!$C$2:$D$16,2,0)*H16</f>
        <v>1.7</v>
      </c>
      <c r="E16">
        <v>4.76</v>
      </c>
      <c r="G16">
        <f t="shared" si="0"/>
        <v>3.06</v>
      </c>
      <c r="H16">
        <v>1</v>
      </c>
    </row>
    <row r="17" spans="2:15">
      <c r="B17" s="3">
        <v>45587</v>
      </c>
      <c r="C17" t="s">
        <v>16</v>
      </c>
      <c r="D17">
        <f>VLOOKUP(C17,成本价!$C$2:$D$16,2,0)*H17</f>
        <v>5.4</v>
      </c>
      <c r="E17">
        <v>15.21</v>
      </c>
      <c r="G17">
        <f t="shared" si="0"/>
        <v>9.81</v>
      </c>
      <c r="H17">
        <v>2</v>
      </c>
      <c r="O17" s="27"/>
    </row>
    <row r="18" spans="2:8">
      <c r="B18" s="3">
        <v>45587</v>
      </c>
      <c r="C18" t="s">
        <v>20</v>
      </c>
      <c r="D18">
        <f>VLOOKUP(C18,成本价!$C$2:$D$16,2,0)*H18</f>
        <v>3</v>
      </c>
      <c r="E18">
        <v>0</v>
      </c>
      <c r="G18">
        <f t="shared" si="0"/>
        <v>-3</v>
      </c>
      <c r="H18">
        <v>1</v>
      </c>
    </row>
    <row r="19" spans="2:8">
      <c r="B19" s="3">
        <v>45587</v>
      </c>
      <c r="C19" t="s">
        <v>23</v>
      </c>
      <c r="D19">
        <f>VLOOKUP(C19,成本价!$C$2:$D$16,2,0)*H19</f>
        <v>6.24</v>
      </c>
      <c r="E19">
        <v>34.6</v>
      </c>
      <c r="G19">
        <f t="shared" si="0"/>
        <v>28.36</v>
      </c>
      <c r="H19">
        <v>3</v>
      </c>
    </row>
    <row r="20" spans="2:8">
      <c r="B20" s="3">
        <v>45587</v>
      </c>
      <c r="C20" t="s">
        <v>28</v>
      </c>
      <c r="D20">
        <f>VLOOKUP(C20,成本价!$C$2:$D$16,2,0)*H20</f>
        <v>8.88</v>
      </c>
      <c r="E20">
        <v>0</v>
      </c>
      <c r="G20">
        <f t="shared" si="0"/>
        <v>-8.88</v>
      </c>
      <c r="H20">
        <v>4</v>
      </c>
    </row>
    <row r="21" spans="2:13">
      <c r="B21" s="3">
        <v>45587</v>
      </c>
      <c r="C21" t="s">
        <v>33</v>
      </c>
      <c r="D21">
        <f>VLOOKUP(C21,成本价!$C$2:$D$16,2,0)*H21</f>
        <v>3.4</v>
      </c>
      <c r="E21">
        <v>15</v>
      </c>
      <c r="G21">
        <f t="shared" si="0"/>
        <v>11.6</v>
      </c>
      <c r="H21">
        <v>2</v>
      </c>
      <c r="M21">
        <f>2418.64+20.66+2619.61</f>
        <v>5058.91</v>
      </c>
    </row>
    <row r="22" spans="2:13">
      <c r="B22" s="3">
        <v>45587</v>
      </c>
      <c r="C22" t="s">
        <v>27</v>
      </c>
      <c r="D22">
        <f>VLOOKUP(C22,成本价!$C$2:$D$16,2,0)*H22</f>
        <v>1.8</v>
      </c>
      <c r="E22">
        <v>0</v>
      </c>
      <c r="G22">
        <f t="shared" si="0"/>
        <v>-1.8</v>
      </c>
      <c r="H22">
        <v>1</v>
      </c>
      <c r="M22">
        <f>M21+1737.59</f>
        <v>6796.5</v>
      </c>
    </row>
    <row r="23" spans="2:8">
      <c r="B23" s="3">
        <v>45587</v>
      </c>
      <c r="C23" t="s">
        <v>36</v>
      </c>
      <c r="D23">
        <f>VLOOKUP(C23,成本价!$C$2:$D$16,2,0)*H23</f>
        <v>6.96</v>
      </c>
      <c r="E23">
        <v>17.4</v>
      </c>
      <c r="G23">
        <f t="shared" si="0"/>
        <v>10.44</v>
      </c>
      <c r="H23">
        <v>3</v>
      </c>
    </row>
    <row r="24" spans="2:8">
      <c r="B24" s="3">
        <v>45587</v>
      </c>
      <c r="C24" t="s">
        <v>33</v>
      </c>
      <c r="D24">
        <f>VLOOKUP(C24,成本价!$C$2:$D$16,2,0)*H24</f>
        <v>3.4</v>
      </c>
      <c r="E24">
        <v>15</v>
      </c>
      <c r="G24">
        <f t="shared" si="0"/>
        <v>11.6</v>
      </c>
      <c r="H24">
        <v>2</v>
      </c>
    </row>
    <row r="25" spans="2:8">
      <c r="B25" s="3">
        <v>45587</v>
      </c>
      <c r="C25" t="s">
        <v>27</v>
      </c>
      <c r="D25">
        <f>VLOOKUP(C25,成本价!$C$2:$D$16,2,0)*H25</f>
        <v>1.8</v>
      </c>
      <c r="E25">
        <v>0</v>
      </c>
      <c r="G25">
        <f t="shared" si="0"/>
        <v>-1.8</v>
      </c>
      <c r="H25">
        <v>1</v>
      </c>
    </row>
    <row r="26" spans="2:8">
      <c r="B26" s="3">
        <v>45587</v>
      </c>
      <c r="C26" t="s">
        <v>33</v>
      </c>
      <c r="D26">
        <f>VLOOKUP(C26,成本价!$C$2:$D$16,2,0)*H26</f>
        <v>3.4</v>
      </c>
      <c r="E26">
        <v>16.7</v>
      </c>
      <c r="G26">
        <f t="shared" si="0"/>
        <v>13.3</v>
      </c>
      <c r="H26">
        <v>2</v>
      </c>
    </row>
    <row r="27" spans="2:8">
      <c r="B27" s="3">
        <v>45587</v>
      </c>
      <c r="C27" t="s">
        <v>27</v>
      </c>
      <c r="D27">
        <f>VLOOKUP(C27,成本价!$C$2:$D$16,2,0)*H27</f>
        <v>1.8</v>
      </c>
      <c r="G27">
        <f t="shared" si="0"/>
        <v>-1.8</v>
      </c>
      <c r="H27">
        <v>1</v>
      </c>
    </row>
    <row r="28" spans="2:9">
      <c r="B28" s="3">
        <v>45587</v>
      </c>
      <c r="I28">
        <f>40.74</f>
        <v>40.74</v>
      </c>
    </row>
    <row r="29" spans="2:8">
      <c r="B29" s="29">
        <v>45588</v>
      </c>
      <c r="C29" t="s">
        <v>33</v>
      </c>
      <c r="D29">
        <f>VLOOKUP(C29,成本价!$C$2:$D$16,2,0)*H29</f>
        <v>5.1</v>
      </c>
      <c r="E29">
        <v>32.2</v>
      </c>
      <c r="G29">
        <f t="shared" si="0"/>
        <v>27.1</v>
      </c>
      <c r="H29">
        <v>3</v>
      </c>
    </row>
    <row r="30" spans="2:8">
      <c r="B30" s="3">
        <v>45588</v>
      </c>
      <c r="C30" t="s">
        <v>27</v>
      </c>
      <c r="D30">
        <f>VLOOKUP(C30,成本价!$C$2:$D$16,2,0)*H30</f>
        <v>7.2</v>
      </c>
      <c r="E30">
        <v>0</v>
      </c>
      <c r="G30">
        <f t="shared" si="0"/>
        <v>-7.2</v>
      </c>
      <c r="H30">
        <v>4</v>
      </c>
    </row>
    <row r="31" spans="2:8">
      <c r="B31" s="3">
        <v>45588</v>
      </c>
      <c r="C31" t="s">
        <v>40</v>
      </c>
      <c r="D31">
        <f>VLOOKUP(C31,成本价!$C$2:$D$16,2,0)*H31</f>
        <v>5.64</v>
      </c>
      <c r="E31">
        <v>33.96</v>
      </c>
      <c r="G31">
        <f t="shared" si="0"/>
        <v>28.32</v>
      </c>
      <c r="H31">
        <v>3</v>
      </c>
    </row>
    <row r="32" spans="2:8">
      <c r="B32" s="3">
        <v>45588</v>
      </c>
      <c r="C32" t="s">
        <v>43</v>
      </c>
      <c r="D32">
        <f>VLOOKUP(C32,成本价!$C$2:$D$16,2,0)*H32</f>
        <v>8.08</v>
      </c>
      <c r="E32">
        <v>0</v>
      </c>
      <c r="G32">
        <f t="shared" si="0"/>
        <v>-8.08</v>
      </c>
      <c r="H32">
        <v>4</v>
      </c>
    </row>
    <row r="33" spans="2:8">
      <c r="B33" s="3">
        <v>45588</v>
      </c>
      <c r="C33" t="s">
        <v>27</v>
      </c>
      <c r="D33">
        <f>VLOOKUP(C33,成本价!$C$2:$D$16,2,0)*H33</f>
        <v>1.8</v>
      </c>
      <c r="E33">
        <v>4.76</v>
      </c>
      <c r="G33">
        <f t="shared" si="0"/>
        <v>2.96</v>
      </c>
      <c r="H33">
        <v>1</v>
      </c>
    </row>
    <row r="34" spans="2:8">
      <c r="B34" s="3">
        <v>45588</v>
      </c>
      <c r="C34" t="s">
        <v>33</v>
      </c>
      <c r="D34">
        <f>VLOOKUP(C34,成本价!$C$2:$D$16,2,0)*H34</f>
        <v>1.7</v>
      </c>
      <c r="E34">
        <v>4.76</v>
      </c>
      <c r="G34">
        <f t="shared" si="0"/>
        <v>3.06</v>
      </c>
      <c r="H34">
        <v>1</v>
      </c>
    </row>
    <row r="35" spans="2:8">
      <c r="B35" s="3">
        <v>45588</v>
      </c>
      <c r="C35" t="s">
        <v>33</v>
      </c>
      <c r="D35">
        <f>VLOOKUP(C35,成本价!$C$2:$D$16,2,0)*H35</f>
        <v>1.7</v>
      </c>
      <c r="E35">
        <v>5.76</v>
      </c>
      <c r="G35">
        <f t="shared" si="0"/>
        <v>4.06</v>
      </c>
      <c r="H35">
        <v>1</v>
      </c>
    </row>
    <row r="36" spans="2:8">
      <c r="B36" s="3">
        <v>45588</v>
      </c>
      <c r="C36" t="s">
        <v>27</v>
      </c>
      <c r="D36">
        <f>VLOOKUP(C36,成本价!$C$2:$D$16,2,0)*H36</f>
        <v>1.8</v>
      </c>
      <c r="E36">
        <v>5.76</v>
      </c>
      <c r="G36">
        <f t="shared" si="0"/>
        <v>3.96</v>
      </c>
      <c r="H36">
        <v>1</v>
      </c>
    </row>
    <row r="37" spans="2:8">
      <c r="B37" s="3">
        <v>45588</v>
      </c>
      <c r="C37" t="s">
        <v>33</v>
      </c>
      <c r="D37">
        <f>VLOOKUP(C37,成本价!$C$2:$D$16,2,0)*H37</f>
        <v>3.4</v>
      </c>
      <c r="E37">
        <v>15</v>
      </c>
      <c r="G37">
        <f t="shared" si="0"/>
        <v>11.6</v>
      </c>
      <c r="H37">
        <v>2</v>
      </c>
    </row>
    <row r="38" spans="2:8">
      <c r="B38" s="3">
        <v>45588</v>
      </c>
      <c r="C38" t="s">
        <v>27</v>
      </c>
      <c r="D38">
        <f>VLOOKUP(C38,成本价!$C$2:$D$16,2,0)*H38</f>
        <v>3.6</v>
      </c>
      <c r="E38">
        <v>6.76</v>
      </c>
      <c r="G38">
        <f t="shared" si="0"/>
        <v>3.16</v>
      </c>
      <c r="H38">
        <v>2</v>
      </c>
    </row>
    <row r="39" spans="2:8">
      <c r="B39" s="3">
        <v>45588</v>
      </c>
      <c r="C39" t="s">
        <v>16</v>
      </c>
      <c r="D39">
        <f>VLOOKUP(C39,成本价!$C$2:$D$16,2,0)*H39</f>
        <v>2.7</v>
      </c>
      <c r="E39">
        <v>6.88</v>
      </c>
      <c r="G39">
        <f t="shared" si="0"/>
        <v>4.18</v>
      </c>
      <c r="H39">
        <v>1</v>
      </c>
    </row>
    <row r="40" spans="2:8">
      <c r="B40" s="3">
        <v>45588</v>
      </c>
      <c r="C40" t="s">
        <v>33</v>
      </c>
      <c r="D40">
        <f>VLOOKUP(C40,成本价!$C$2:$D$16,2,0)*H40</f>
        <v>3.4</v>
      </c>
      <c r="E40">
        <v>15</v>
      </c>
      <c r="G40">
        <f t="shared" si="0"/>
        <v>11.6</v>
      </c>
      <c r="H40">
        <v>2</v>
      </c>
    </row>
    <row r="41" spans="2:8">
      <c r="B41" s="3">
        <v>45588</v>
      </c>
      <c r="C41" t="s">
        <v>27</v>
      </c>
      <c r="D41">
        <f>VLOOKUP(C41,成本价!$C$2:$D$16,2,0)*H41</f>
        <v>1.8</v>
      </c>
      <c r="E41">
        <v>0</v>
      </c>
      <c r="G41">
        <f t="shared" si="0"/>
        <v>-1.8</v>
      </c>
      <c r="H41">
        <v>1</v>
      </c>
    </row>
    <row r="42" spans="2:8">
      <c r="B42" s="3">
        <v>45588</v>
      </c>
      <c r="C42" t="s">
        <v>16</v>
      </c>
      <c r="D42">
        <f>VLOOKUP(C42,成本价!$C$2:$D$16,2,0)*H42</f>
        <v>5.4</v>
      </c>
      <c r="E42">
        <v>18.3</v>
      </c>
      <c r="G42">
        <f t="shared" si="0"/>
        <v>12.9</v>
      </c>
      <c r="H42">
        <v>2</v>
      </c>
    </row>
    <row r="43" spans="2:8">
      <c r="B43" s="3">
        <v>45588</v>
      </c>
      <c r="C43" t="s">
        <v>20</v>
      </c>
      <c r="D43">
        <f>VLOOKUP(C43,成本价!$C$2:$D$16,2,0)*H43</f>
        <v>3</v>
      </c>
      <c r="E43">
        <v>0</v>
      </c>
      <c r="G43">
        <f t="shared" si="0"/>
        <v>-3</v>
      </c>
      <c r="H43">
        <v>1</v>
      </c>
    </row>
    <row r="44" spans="2:8">
      <c r="B44" s="3">
        <v>45588</v>
      </c>
      <c r="C44" t="s">
        <v>36</v>
      </c>
      <c r="D44">
        <f>VLOOKUP(C44,成本价!$C$2:$D$16,2,0)*H44</f>
        <v>6.96</v>
      </c>
      <c r="E44">
        <v>24.6</v>
      </c>
      <c r="G44">
        <f t="shared" si="0"/>
        <v>17.64</v>
      </c>
      <c r="H44">
        <v>3</v>
      </c>
    </row>
    <row r="45" spans="2:8">
      <c r="B45" s="3">
        <v>45588</v>
      </c>
      <c r="C45" t="s">
        <v>37</v>
      </c>
      <c r="D45">
        <f>VLOOKUP(C45,成本价!$C$2:$D$16,2,0)*H45</f>
        <v>5.08</v>
      </c>
      <c r="E45">
        <v>0</v>
      </c>
      <c r="G45">
        <f t="shared" si="0"/>
        <v>-5.08</v>
      </c>
      <c r="H45">
        <v>2</v>
      </c>
    </row>
    <row r="46" spans="2:8">
      <c r="B46" s="3">
        <v>45588</v>
      </c>
      <c r="C46" t="s">
        <v>36</v>
      </c>
      <c r="D46">
        <f>VLOOKUP(C46,成本价!$C$2:$D$16,2,0)*H46</f>
        <v>4.64</v>
      </c>
      <c r="E46">
        <v>17.39</v>
      </c>
      <c r="G46">
        <f t="shared" si="0"/>
        <v>12.75</v>
      </c>
      <c r="H46">
        <v>2</v>
      </c>
    </row>
    <row r="47" spans="2:8">
      <c r="B47" s="3">
        <v>45588</v>
      </c>
      <c r="C47" t="s">
        <v>37</v>
      </c>
      <c r="D47">
        <f>VLOOKUP(C47,成本价!$C$2:$D$16,2,0)*H47</f>
        <v>2.54</v>
      </c>
      <c r="E47">
        <v>0</v>
      </c>
      <c r="G47">
        <f t="shared" si="0"/>
        <v>-2.54</v>
      </c>
      <c r="H47">
        <v>1</v>
      </c>
    </row>
    <row r="48" spans="2:8">
      <c r="B48" s="3">
        <v>45588</v>
      </c>
      <c r="C48" t="s">
        <v>16</v>
      </c>
      <c r="D48">
        <f>VLOOKUP(C48,成本价!$C$2:$D$16,2,0)*H48</f>
        <v>2.7</v>
      </c>
      <c r="E48">
        <v>6.88</v>
      </c>
      <c r="G48">
        <f t="shared" si="0"/>
        <v>4.18</v>
      </c>
      <c r="H48">
        <v>1</v>
      </c>
    </row>
    <row r="49" spans="2:9">
      <c r="B49" s="3">
        <v>45588</v>
      </c>
      <c r="I49">
        <v>65.24</v>
      </c>
    </row>
    <row r="50" spans="2:8">
      <c r="B50" s="29">
        <v>45589</v>
      </c>
      <c r="C50" t="s">
        <v>40</v>
      </c>
      <c r="D50">
        <f>VLOOKUP(C50,成本价!$C$2:$D$16,2,0)*H50</f>
        <v>1.88</v>
      </c>
      <c r="E50">
        <v>7.8</v>
      </c>
      <c r="G50">
        <f t="shared" si="0"/>
        <v>5.92</v>
      </c>
      <c r="H50">
        <v>1</v>
      </c>
    </row>
    <row r="51" spans="2:8">
      <c r="B51" s="3">
        <v>45589</v>
      </c>
      <c r="C51" t="s">
        <v>23</v>
      </c>
      <c r="D51">
        <f>VLOOKUP(C51,成本价!$C$2:$D$16,2,0)*H51</f>
        <v>6.24</v>
      </c>
      <c r="E51">
        <v>23.8</v>
      </c>
      <c r="G51">
        <f t="shared" si="0"/>
        <v>17.56</v>
      </c>
      <c r="H51">
        <v>3</v>
      </c>
    </row>
    <row r="52" spans="2:8">
      <c r="B52" s="3">
        <v>45589</v>
      </c>
      <c r="C52" t="s">
        <v>28</v>
      </c>
      <c r="D52">
        <f>VLOOKUP(C52,成本价!$C$2:$D$16,2,0)*H52</f>
        <v>4.44</v>
      </c>
      <c r="E52">
        <v>0</v>
      </c>
      <c r="G52">
        <f t="shared" si="0"/>
        <v>-4.44</v>
      </c>
      <c r="H52">
        <v>2</v>
      </c>
    </row>
    <row r="53" spans="2:8">
      <c r="B53" s="3">
        <v>45589</v>
      </c>
      <c r="C53" t="s">
        <v>40</v>
      </c>
      <c r="D53">
        <f>VLOOKUP(C53,成本价!$C$2:$D$16,2,0)*H53</f>
        <v>1.88</v>
      </c>
      <c r="E53">
        <v>7.8</v>
      </c>
      <c r="G53">
        <f t="shared" si="0"/>
        <v>5.92</v>
      </c>
      <c r="H53">
        <v>1</v>
      </c>
    </row>
    <row r="54" spans="2:8">
      <c r="B54" s="3">
        <v>45589</v>
      </c>
      <c r="C54" t="s">
        <v>20</v>
      </c>
      <c r="D54">
        <f>VLOOKUP(C54,成本价!$C$2:$D$16,2,0)*H54</f>
        <v>3</v>
      </c>
      <c r="E54">
        <v>7.38</v>
      </c>
      <c r="G54">
        <f t="shared" si="0"/>
        <v>4.38</v>
      </c>
      <c r="H54">
        <v>1</v>
      </c>
    </row>
    <row r="55" spans="2:8">
      <c r="B55" s="3">
        <v>45589</v>
      </c>
      <c r="C55" t="s">
        <v>20</v>
      </c>
      <c r="D55">
        <f>VLOOKUP(C55,成本价!$C$2:$D$16,2,0)*H55</f>
        <v>3</v>
      </c>
      <c r="E55">
        <v>7.38</v>
      </c>
      <c r="G55">
        <f t="shared" si="0"/>
        <v>4.38</v>
      </c>
      <c r="H55">
        <v>1</v>
      </c>
    </row>
    <row r="56" spans="2:8">
      <c r="B56" s="3">
        <v>45589</v>
      </c>
      <c r="C56" t="s">
        <v>44</v>
      </c>
      <c r="D56">
        <f>VLOOKUP(C56,成本价!$C$2:$D$16,2,0)*H56</f>
        <v>1.191</v>
      </c>
      <c r="E56">
        <v>11.58</v>
      </c>
      <c r="G56">
        <f t="shared" si="0"/>
        <v>10.389</v>
      </c>
      <c r="H56">
        <v>3</v>
      </c>
    </row>
    <row r="57" spans="2:8">
      <c r="B57" s="3">
        <v>45589</v>
      </c>
      <c r="C57" t="s">
        <v>36</v>
      </c>
      <c r="D57">
        <f>VLOOKUP(C57,成本价!$C$2:$D$16,2,0)*H57</f>
        <v>4.64</v>
      </c>
      <c r="E57">
        <v>16.2</v>
      </c>
      <c r="G57">
        <f t="shared" si="0"/>
        <v>11.56</v>
      </c>
      <c r="H57">
        <v>2</v>
      </c>
    </row>
    <row r="58" spans="2:8">
      <c r="B58" s="3">
        <v>45589</v>
      </c>
      <c r="C58" t="s">
        <v>37</v>
      </c>
      <c r="D58">
        <f>VLOOKUP(C58,成本价!$C$2:$D$16,2,0)*H58</f>
        <v>2.54</v>
      </c>
      <c r="E58">
        <v>8.6</v>
      </c>
      <c r="G58">
        <f t="shared" si="0"/>
        <v>6.06</v>
      </c>
      <c r="H58">
        <v>1</v>
      </c>
    </row>
    <row r="59" spans="2:8">
      <c r="B59" s="3">
        <v>45589</v>
      </c>
      <c r="C59" t="s">
        <v>33</v>
      </c>
      <c r="D59">
        <f>VLOOKUP(C59,成本价!$C$2:$D$16,2,0)*H59</f>
        <v>1.7</v>
      </c>
      <c r="E59">
        <v>23.4</v>
      </c>
      <c r="G59">
        <f t="shared" si="0"/>
        <v>21.7</v>
      </c>
      <c r="H59">
        <v>1</v>
      </c>
    </row>
    <row r="60" spans="2:8">
      <c r="B60" s="3">
        <v>45589</v>
      </c>
      <c r="C60" t="s">
        <v>27</v>
      </c>
      <c r="D60">
        <f>VLOOKUP(C60,成本价!$C$2:$D$16,2,0)*H60</f>
        <v>7.2</v>
      </c>
      <c r="E60">
        <v>0</v>
      </c>
      <c r="G60">
        <f t="shared" si="0"/>
        <v>-7.2</v>
      </c>
      <c r="H60">
        <v>4</v>
      </c>
    </row>
    <row r="61" spans="2:8">
      <c r="B61" s="3">
        <v>45589</v>
      </c>
      <c r="C61" t="s">
        <v>20</v>
      </c>
      <c r="D61">
        <f>VLOOKUP(C61,成本价!$C$2:$D$16,2,0)*H61</f>
        <v>9</v>
      </c>
      <c r="E61">
        <v>18.92</v>
      </c>
      <c r="G61">
        <f t="shared" si="0"/>
        <v>9.92</v>
      </c>
      <c r="H61">
        <v>3</v>
      </c>
    </row>
    <row r="62" spans="2:9">
      <c r="B62" s="3">
        <v>45589</v>
      </c>
      <c r="I62">
        <f>51.26-2.35</f>
        <v>48.91</v>
      </c>
    </row>
    <row r="63" spans="2:8">
      <c r="B63" s="29">
        <v>45590</v>
      </c>
      <c r="C63" t="s">
        <v>23</v>
      </c>
      <c r="D63">
        <f>VLOOKUP(C63,成本价!$C$2:$D$16,2,0)*H63</f>
        <v>4.16</v>
      </c>
      <c r="E63">
        <v>15.8</v>
      </c>
      <c r="G63">
        <f t="shared" si="0"/>
        <v>11.64</v>
      </c>
      <c r="H63">
        <v>2</v>
      </c>
    </row>
    <row r="64" spans="2:8">
      <c r="B64" s="3">
        <v>45590</v>
      </c>
      <c r="C64" t="s">
        <v>28</v>
      </c>
      <c r="D64">
        <f>VLOOKUP(C64,成本价!$C$2:$D$16,2,0)*H64</f>
        <v>2.22</v>
      </c>
      <c r="E64">
        <v>0</v>
      </c>
      <c r="G64">
        <f t="shared" si="0"/>
        <v>-2.22</v>
      </c>
      <c r="H64">
        <v>1</v>
      </c>
    </row>
    <row r="65" spans="2:8">
      <c r="B65" s="3">
        <v>45590</v>
      </c>
      <c r="C65" t="s">
        <v>45</v>
      </c>
      <c r="D65">
        <f>VLOOKUP(C65,成本价!$C$2:$D$16,2,0)*H65</f>
        <v>7.2</v>
      </c>
      <c r="E65">
        <v>27.82</v>
      </c>
      <c r="G65">
        <f t="shared" si="0"/>
        <v>20.62</v>
      </c>
      <c r="H65">
        <v>3</v>
      </c>
    </row>
    <row r="66" spans="2:8">
      <c r="B66" s="3">
        <v>45590</v>
      </c>
      <c r="C66" t="s">
        <v>46</v>
      </c>
      <c r="D66">
        <f>VLOOKUP(C66,成本价!$C$2:$D$16,2,0)*H66</f>
        <v>5.4</v>
      </c>
      <c r="E66">
        <v>0</v>
      </c>
      <c r="G66">
        <f t="shared" si="0"/>
        <v>-5.4</v>
      </c>
      <c r="H66">
        <v>2</v>
      </c>
    </row>
    <row r="67" spans="2:8">
      <c r="B67" s="3">
        <v>45590</v>
      </c>
      <c r="C67" t="s">
        <v>23</v>
      </c>
      <c r="D67">
        <f>VLOOKUP(C67,成本价!$C$2:$D$16,2,0)*H67</f>
        <v>6.24</v>
      </c>
      <c r="E67">
        <v>15.8</v>
      </c>
      <c r="G67">
        <f t="shared" si="0"/>
        <v>9.56</v>
      </c>
      <c r="H67">
        <v>3</v>
      </c>
    </row>
    <row r="68" spans="2:8">
      <c r="B68" s="3">
        <v>45590</v>
      </c>
      <c r="C68" t="s">
        <v>20</v>
      </c>
      <c r="D68">
        <f>VLOOKUP(C68,成本价!$C$2:$D$16,2,0)*H68</f>
        <v>3</v>
      </c>
      <c r="E68">
        <v>8.67</v>
      </c>
      <c r="G68">
        <f t="shared" si="0"/>
        <v>5.67</v>
      </c>
      <c r="H68">
        <v>1</v>
      </c>
    </row>
    <row r="69" spans="2:8">
      <c r="B69" s="3">
        <v>45590</v>
      </c>
      <c r="C69" t="s">
        <v>23</v>
      </c>
      <c r="D69">
        <f>VLOOKUP(C69,成本价!$C$2:$D$16,2,0)*H69</f>
        <v>6.24</v>
      </c>
      <c r="E69">
        <v>15.8</v>
      </c>
      <c r="G69">
        <f t="shared" si="0"/>
        <v>9.56</v>
      </c>
      <c r="H69">
        <v>3</v>
      </c>
    </row>
    <row r="70" spans="2:8">
      <c r="B70" s="3">
        <v>45590</v>
      </c>
      <c r="C70" t="s">
        <v>45</v>
      </c>
      <c r="D70">
        <f>VLOOKUP(C70,成本价!$C$2:$D$16,2,0)*H70</f>
        <v>2.4</v>
      </c>
      <c r="E70">
        <v>27.33</v>
      </c>
      <c r="G70">
        <f t="shared" si="0"/>
        <v>24.93</v>
      </c>
      <c r="H70">
        <v>1</v>
      </c>
    </row>
    <row r="71" spans="2:8">
      <c r="B71" s="3">
        <v>45590</v>
      </c>
      <c r="C71" t="s">
        <v>46</v>
      </c>
      <c r="D71">
        <f>VLOOKUP(C71,成本价!$C$2:$D$16,2,0)*H71</f>
        <v>10.8</v>
      </c>
      <c r="E71">
        <v>0</v>
      </c>
      <c r="G71">
        <f t="shared" ref="G71:G139" si="1">E71-D71</f>
        <v>-10.8</v>
      </c>
      <c r="H71">
        <v>4</v>
      </c>
    </row>
    <row r="72" spans="2:8">
      <c r="B72" s="3">
        <v>45590</v>
      </c>
      <c r="C72" t="s">
        <v>16</v>
      </c>
      <c r="D72">
        <f>VLOOKUP(C72,成本价!$C$2:$D$16,2,0)*H72</f>
        <v>2.7</v>
      </c>
      <c r="E72">
        <v>8.89</v>
      </c>
      <c r="G72">
        <f t="shared" si="1"/>
        <v>6.19</v>
      </c>
      <c r="H72">
        <v>1</v>
      </c>
    </row>
    <row r="73" spans="2:9">
      <c r="B73" s="3">
        <v>45590</v>
      </c>
      <c r="I73">
        <f>42.61+2.35</f>
        <v>44.96</v>
      </c>
    </row>
    <row r="74" spans="2:8">
      <c r="B74" s="29">
        <v>45591</v>
      </c>
      <c r="C74" t="s">
        <v>33</v>
      </c>
      <c r="D74">
        <f>VLOOKUP(C74,成本价!$C$2:$D$16,2,0)*H74</f>
        <v>3.4</v>
      </c>
      <c r="E74">
        <v>15.32</v>
      </c>
      <c r="G74">
        <f t="shared" si="1"/>
        <v>11.92</v>
      </c>
      <c r="H74">
        <v>2</v>
      </c>
    </row>
    <row r="75" spans="2:8">
      <c r="B75" s="3">
        <v>45591</v>
      </c>
      <c r="C75" t="s">
        <v>27</v>
      </c>
      <c r="D75">
        <f>VLOOKUP(C75,成本价!$C$2:$D$16,2,0)*H75</f>
        <v>1.8</v>
      </c>
      <c r="E75">
        <v>0</v>
      </c>
      <c r="G75">
        <f t="shared" si="1"/>
        <v>-1.8</v>
      </c>
      <c r="H75">
        <v>1</v>
      </c>
    </row>
    <row r="76" spans="2:8">
      <c r="B76" s="3">
        <v>45591</v>
      </c>
      <c r="C76" t="s">
        <v>43</v>
      </c>
      <c r="D76">
        <f>VLOOKUP(C76,成本价!$C$2:$D$16,2,0)*H76</f>
        <v>2.02</v>
      </c>
      <c r="E76">
        <v>5.8</v>
      </c>
      <c r="G76">
        <f t="shared" si="1"/>
        <v>3.78</v>
      </c>
      <c r="H76">
        <v>1</v>
      </c>
    </row>
    <row r="77" spans="2:8">
      <c r="B77" s="3">
        <v>45591</v>
      </c>
      <c r="C77" t="s">
        <v>28</v>
      </c>
      <c r="D77">
        <f>VLOOKUP(C77,成本价!$C$2:$D$16,2,0)*H77</f>
        <v>2.22</v>
      </c>
      <c r="E77">
        <v>4.86</v>
      </c>
      <c r="G77">
        <f t="shared" si="1"/>
        <v>2.64</v>
      </c>
      <c r="H77">
        <v>1</v>
      </c>
    </row>
    <row r="78" spans="2:8">
      <c r="B78" s="3">
        <v>45591</v>
      </c>
      <c r="C78" t="s">
        <v>27</v>
      </c>
      <c r="D78">
        <f>VLOOKUP(C78,成本价!$C$2:$D$16,2,0)*H78</f>
        <v>1.8</v>
      </c>
      <c r="E78">
        <v>3.88</v>
      </c>
      <c r="G78">
        <f t="shared" si="1"/>
        <v>2.08</v>
      </c>
      <c r="H78">
        <v>1</v>
      </c>
    </row>
    <row r="79" spans="2:8">
      <c r="B79" s="3">
        <v>45591</v>
      </c>
      <c r="C79" t="s">
        <v>12</v>
      </c>
      <c r="D79">
        <f>VLOOKUP(C79,成本价!$C$2:$D$16,2,0)*H79</f>
        <v>0.774</v>
      </c>
      <c r="E79">
        <v>11.86</v>
      </c>
      <c r="G79">
        <f t="shared" si="1"/>
        <v>11.086</v>
      </c>
      <c r="H79">
        <v>2</v>
      </c>
    </row>
    <row r="80" spans="2:8">
      <c r="B80" s="3">
        <v>45591</v>
      </c>
      <c r="C80" t="s">
        <v>44</v>
      </c>
      <c r="D80">
        <f>VLOOKUP(C80,成本价!$C$2:$D$16,2,0)*H80</f>
        <v>0.397</v>
      </c>
      <c r="E80">
        <v>0</v>
      </c>
      <c r="G80">
        <f t="shared" si="1"/>
        <v>-0.397</v>
      </c>
      <c r="H80">
        <v>1</v>
      </c>
    </row>
    <row r="81" spans="2:8">
      <c r="B81" s="3">
        <v>45591</v>
      </c>
      <c r="C81" t="s">
        <v>33</v>
      </c>
      <c r="D81">
        <f>VLOOKUP(C81,成本价!$C$2:$D$16,2,0)*H81</f>
        <v>1.7</v>
      </c>
      <c r="E81">
        <v>5.88</v>
      </c>
      <c r="G81">
        <f t="shared" si="1"/>
        <v>4.18</v>
      </c>
      <c r="H81">
        <v>1</v>
      </c>
    </row>
    <row r="82" spans="2:8">
      <c r="B82" s="3">
        <v>45591</v>
      </c>
      <c r="C82" t="s">
        <v>27</v>
      </c>
      <c r="D82">
        <f>VLOOKUP(C82,成本价!$C$2:$D$16,2,0)*H82</f>
        <v>1.8</v>
      </c>
      <c r="E82">
        <v>5.88</v>
      </c>
      <c r="G82">
        <f t="shared" si="1"/>
        <v>4.08</v>
      </c>
      <c r="H82">
        <v>1</v>
      </c>
    </row>
    <row r="83" spans="2:8">
      <c r="B83" s="3">
        <v>45591</v>
      </c>
      <c r="C83" t="s">
        <v>27</v>
      </c>
      <c r="D83">
        <f>VLOOKUP(C83,成本价!$C$2:$D$16,2,0)*H83</f>
        <v>1.8</v>
      </c>
      <c r="E83">
        <v>3.88</v>
      </c>
      <c r="G83">
        <f t="shared" si="1"/>
        <v>2.08</v>
      </c>
      <c r="H83">
        <v>1</v>
      </c>
    </row>
    <row r="84" spans="2:8">
      <c r="B84" s="3">
        <v>45591</v>
      </c>
      <c r="C84" t="s">
        <v>40</v>
      </c>
      <c r="D84">
        <f>VLOOKUP(C84,成本价!$C$2:$D$16,2,0)*H84</f>
        <v>5.64</v>
      </c>
      <c r="E84">
        <v>15.8</v>
      </c>
      <c r="G84">
        <f t="shared" si="1"/>
        <v>10.16</v>
      </c>
      <c r="H84">
        <v>3</v>
      </c>
    </row>
    <row r="85" spans="2:8">
      <c r="B85" s="3">
        <v>45591</v>
      </c>
      <c r="C85" t="s">
        <v>36</v>
      </c>
      <c r="D85">
        <f>VLOOKUP(C85,成本价!$C$2:$D$16,2,0)*H85</f>
        <v>2.32</v>
      </c>
      <c r="E85">
        <v>7.49</v>
      </c>
      <c r="G85">
        <f t="shared" si="1"/>
        <v>5.17</v>
      </c>
      <c r="H85">
        <v>1</v>
      </c>
    </row>
    <row r="86" spans="2:8">
      <c r="B86" s="3">
        <v>45591</v>
      </c>
      <c r="C86" t="s">
        <v>36</v>
      </c>
      <c r="D86">
        <f>VLOOKUP(C86,成本价!$C$2:$D$16,2,0)*H86</f>
        <v>2.32</v>
      </c>
      <c r="E86">
        <v>7.49</v>
      </c>
      <c r="G86">
        <f t="shared" si="1"/>
        <v>5.17</v>
      </c>
      <c r="H86">
        <v>1</v>
      </c>
    </row>
    <row r="87" spans="2:8">
      <c r="B87" s="3">
        <v>45591</v>
      </c>
      <c r="C87" t="s">
        <v>16</v>
      </c>
      <c r="D87">
        <f>VLOOKUP(C87,成本价!$C$2:$D$16,2,0)*H87</f>
        <v>2.7</v>
      </c>
      <c r="E87">
        <v>8.89</v>
      </c>
      <c r="G87">
        <f t="shared" si="1"/>
        <v>6.19</v>
      </c>
      <c r="H87">
        <v>1</v>
      </c>
    </row>
    <row r="88" spans="2:8">
      <c r="B88" s="3">
        <v>45591</v>
      </c>
      <c r="C88" t="s">
        <v>27</v>
      </c>
      <c r="D88">
        <f>VLOOKUP(C88,成本价!$C$2:$D$16,2,0)*H88</f>
        <v>5.4</v>
      </c>
      <c r="E88">
        <v>15.4</v>
      </c>
      <c r="G88">
        <f t="shared" si="1"/>
        <v>10</v>
      </c>
      <c r="H88">
        <v>3</v>
      </c>
    </row>
    <row r="89" spans="2:8">
      <c r="B89" s="3">
        <v>45591</v>
      </c>
      <c r="C89" t="s">
        <v>33</v>
      </c>
      <c r="D89">
        <f>VLOOKUP(C89,成本价!$C$2:$D$16,2,0)*H89</f>
        <v>5.1</v>
      </c>
      <c r="E89">
        <v>32.2</v>
      </c>
      <c r="G89">
        <f t="shared" si="1"/>
        <v>27.1</v>
      </c>
      <c r="H89">
        <v>3</v>
      </c>
    </row>
    <row r="90" spans="2:8">
      <c r="B90" s="3">
        <v>45591</v>
      </c>
      <c r="C90" t="s">
        <v>27</v>
      </c>
      <c r="D90">
        <f>VLOOKUP(C90,成本价!$C$2:$D$16,2,0)*H90</f>
        <v>7.2</v>
      </c>
      <c r="E90">
        <v>0</v>
      </c>
      <c r="G90">
        <f t="shared" si="1"/>
        <v>-7.2</v>
      </c>
      <c r="H90">
        <v>4</v>
      </c>
    </row>
    <row r="91" spans="2:8">
      <c r="B91" s="3">
        <v>45591</v>
      </c>
      <c r="C91" t="s">
        <v>33</v>
      </c>
      <c r="D91">
        <f>VLOOKUP(C91,成本价!$C$2:$D$16,2,0)*H91</f>
        <v>3.4</v>
      </c>
      <c r="E91">
        <v>11.76</v>
      </c>
      <c r="G91">
        <f t="shared" si="1"/>
        <v>8.36</v>
      </c>
      <c r="H91">
        <v>2</v>
      </c>
    </row>
    <row r="92" spans="2:8">
      <c r="B92" s="3">
        <v>45591</v>
      </c>
      <c r="C92" t="s">
        <v>23</v>
      </c>
      <c r="D92">
        <f>VLOOKUP(C92,成本价!$C$2:$D$16,2,0)*H92</f>
        <v>4.16</v>
      </c>
      <c r="E92">
        <v>15.3</v>
      </c>
      <c r="G92">
        <f t="shared" si="1"/>
        <v>11.14</v>
      </c>
      <c r="H92">
        <v>2</v>
      </c>
    </row>
    <row r="93" spans="2:8">
      <c r="B93" s="3">
        <v>45591</v>
      </c>
      <c r="C93" t="s">
        <v>28</v>
      </c>
      <c r="D93">
        <f>VLOOKUP(C93,成本价!$C$2:$D$16,2,0)*H93</f>
        <v>2.22</v>
      </c>
      <c r="G93">
        <f t="shared" si="1"/>
        <v>-2.22</v>
      </c>
      <c r="H93">
        <v>1</v>
      </c>
    </row>
    <row r="94" spans="2:9">
      <c r="B94" s="3">
        <v>45591</v>
      </c>
      <c r="I94">
        <f>79.69-5.14</f>
        <v>74.55</v>
      </c>
    </row>
    <row r="95" spans="2:8">
      <c r="B95" s="29">
        <v>45592</v>
      </c>
      <c r="C95" t="s">
        <v>33</v>
      </c>
      <c r="D95">
        <f>VLOOKUP(C95,成本价!$C$2:$D$16,2,0)*H95</f>
        <v>5.1</v>
      </c>
      <c r="E95">
        <v>15</v>
      </c>
      <c r="G95">
        <f t="shared" si="1"/>
        <v>9.9</v>
      </c>
      <c r="H95">
        <v>3</v>
      </c>
    </row>
    <row r="96" spans="2:8">
      <c r="B96" s="3">
        <v>45592</v>
      </c>
      <c r="C96" t="s">
        <v>33</v>
      </c>
      <c r="D96">
        <f>VLOOKUP(C96,成本价!$C$2:$D$16,2,0)*H96</f>
        <v>5.1</v>
      </c>
      <c r="E96">
        <v>28.7</v>
      </c>
      <c r="G96">
        <f t="shared" si="1"/>
        <v>23.6</v>
      </c>
      <c r="H96">
        <v>3</v>
      </c>
    </row>
    <row r="97" spans="2:8">
      <c r="B97" s="3">
        <v>45592</v>
      </c>
      <c r="C97" t="s">
        <v>27</v>
      </c>
      <c r="D97">
        <f>VLOOKUP(C97,成本价!$C$2:$D$16,2,0)*H97</f>
        <v>7.2</v>
      </c>
      <c r="E97">
        <v>0</v>
      </c>
      <c r="G97">
        <f t="shared" si="1"/>
        <v>-7.2</v>
      </c>
      <c r="H97">
        <v>4</v>
      </c>
    </row>
    <row r="98" spans="2:8">
      <c r="B98" s="3">
        <v>45592</v>
      </c>
      <c r="C98" t="s">
        <v>16</v>
      </c>
      <c r="D98">
        <f>VLOOKUP(C98,成本价!$C$2:$D$16,2,0)*H98</f>
        <v>8.1</v>
      </c>
      <c r="E98">
        <v>36.02</v>
      </c>
      <c r="G98">
        <f t="shared" si="1"/>
        <v>27.92</v>
      </c>
      <c r="H98">
        <v>3</v>
      </c>
    </row>
    <row r="99" spans="2:8">
      <c r="B99" s="3">
        <v>45592</v>
      </c>
      <c r="C99" t="s">
        <v>20</v>
      </c>
      <c r="D99">
        <f>VLOOKUP(C99,成本价!$C$2:$D$16,2,0)*H99</f>
        <v>12</v>
      </c>
      <c r="E99">
        <v>0</v>
      </c>
      <c r="G99">
        <f t="shared" si="1"/>
        <v>-12</v>
      </c>
      <c r="H99">
        <v>4</v>
      </c>
    </row>
    <row r="100" spans="2:8">
      <c r="B100" s="3">
        <v>45592</v>
      </c>
      <c r="C100" t="s">
        <v>33</v>
      </c>
      <c r="D100">
        <f>VLOOKUP(C100,成本价!$C$2:$D$16,2,0)*H100</f>
        <v>5.1</v>
      </c>
      <c r="E100">
        <v>27</v>
      </c>
      <c r="G100">
        <f t="shared" si="1"/>
        <v>21.9</v>
      </c>
      <c r="H100">
        <v>3</v>
      </c>
    </row>
    <row r="101" spans="2:8">
      <c r="B101" s="3">
        <v>45592</v>
      </c>
      <c r="C101" t="s">
        <v>27</v>
      </c>
      <c r="D101">
        <f>VLOOKUP(C101,成本价!$C$2:$D$16,2,0)*H101</f>
        <v>3.6</v>
      </c>
      <c r="E101">
        <v>0</v>
      </c>
      <c r="G101">
        <f t="shared" si="1"/>
        <v>-3.6</v>
      </c>
      <c r="H101">
        <v>2</v>
      </c>
    </row>
    <row r="102" spans="2:8">
      <c r="B102" s="3">
        <v>45592</v>
      </c>
      <c r="C102" t="s">
        <v>37</v>
      </c>
      <c r="D102">
        <f>VLOOKUP(C102,成本价!$C$2:$D$16,2,0)*H102</f>
        <v>2.54</v>
      </c>
      <c r="E102">
        <v>7.99</v>
      </c>
      <c r="G102">
        <f t="shared" si="1"/>
        <v>5.45</v>
      </c>
      <c r="H102">
        <v>1</v>
      </c>
    </row>
    <row r="103" spans="2:8">
      <c r="B103" s="3">
        <v>45592</v>
      </c>
      <c r="C103" t="s">
        <v>12</v>
      </c>
      <c r="D103">
        <f>VLOOKUP(C103,成本价!$C$2:$D$16,2,0)*H103</f>
        <v>0.387</v>
      </c>
      <c r="E103">
        <v>5.93</v>
      </c>
      <c r="G103">
        <f t="shared" si="1"/>
        <v>5.543</v>
      </c>
      <c r="H103">
        <v>1</v>
      </c>
    </row>
    <row r="104" spans="2:8">
      <c r="B104" s="3">
        <v>45592</v>
      </c>
      <c r="C104" t="s">
        <v>33</v>
      </c>
      <c r="D104">
        <f>VLOOKUP(C104,成本价!$C$2:$D$16,2,0)*H104</f>
        <v>5.1</v>
      </c>
      <c r="E104">
        <v>21.5</v>
      </c>
      <c r="G104">
        <f t="shared" si="1"/>
        <v>16.4</v>
      </c>
      <c r="H104">
        <v>3</v>
      </c>
    </row>
    <row r="105" spans="2:8">
      <c r="B105" s="3">
        <v>45592</v>
      </c>
      <c r="C105" t="s">
        <v>27</v>
      </c>
      <c r="D105">
        <f>VLOOKUP(C105,成本价!$C$2:$D$16,2,0)*H105</f>
        <v>3.6</v>
      </c>
      <c r="G105">
        <f t="shared" si="1"/>
        <v>-3.6</v>
      </c>
      <c r="H105">
        <v>2</v>
      </c>
    </row>
    <row r="106" spans="2:9">
      <c r="B106" s="3">
        <v>45592</v>
      </c>
      <c r="I106">
        <f>58.95-12.81+5.14</f>
        <v>51.28</v>
      </c>
    </row>
    <row r="107" spans="1:8">
      <c r="A107" s="2" t="s">
        <v>47</v>
      </c>
      <c r="B107" s="29">
        <v>45593</v>
      </c>
      <c r="C107" t="s">
        <v>20</v>
      </c>
      <c r="D107">
        <f>VLOOKUP(C107,成本价!$C$2:$D$16,2,0)*H107</f>
        <v>3</v>
      </c>
      <c r="E107">
        <v>7.38</v>
      </c>
      <c r="G107">
        <f t="shared" si="1"/>
        <v>4.38</v>
      </c>
      <c r="H107">
        <v>1</v>
      </c>
    </row>
    <row r="108" spans="2:8">
      <c r="B108" s="3">
        <v>45593</v>
      </c>
      <c r="C108" t="s">
        <v>37</v>
      </c>
      <c r="D108">
        <f>VLOOKUP(C108,成本价!$C$2:$D$16,2,0)*H108</f>
        <v>7.62</v>
      </c>
      <c r="E108">
        <v>19.3</v>
      </c>
      <c r="G108">
        <f t="shared" si="1"/>
        <v>11.68</v>
      </c>
      <c r="H108">
        <v>3</v>
      </c>
    </row>
    <row r="109" spans="2:8">
      <c r="B109" s="3">
        <v>45593</v>
      </c>
      <c r="C109" t="s">
        <v>12</v>
      </c>
      <c r="D109">
        <f>VLOOKUP(C109,成本价!$C$2:$D$16,2,0)*H109</f>
        <v>0.387</v>
      </c>
      <c r="E109">
        <v>4.92</v>
      </c>
      <c r="G109">
        <f t="shared" si="1"/>
        <v>4.533</v>
      </c>
      <c r="H109">
        <v>1</v>
      </c>
    </row>
    <row r="110" spans="2:8">
      <c r="B110" s="3">
        <v>45593</v>
      </c>
      <c r="C110" t="s">
        <v>44</v>
      </c>
      <c r="D110">
        <f>VLOOKUP(C110,成本价!$C$2:$D$16,2,0)*H110</f>
        <v>1.588</v>
      </c>
      <c r="E110">
        <v>0</v>
      </c>
      <c r="G110">
        <f t="shared" si="1"/>
        <v>-1.588</v>
      </c>
      <c r="H110">
        <v>4</v>
      </c>
    </row>
    <row r="111" spans="2:8">
      <c r="B111" s="3">
        <v>45593</v>
      </c>
      <c r="C111" t="s">
        <v>16</v>
      </c>
      <c r="D111">
        <f>VLOOKUP(C111,成本价!$C$2:$D$16,2,0)*H111</f>
        <v>5.4</v>
      </c>
      <c r="E111">
        <v>15.5</v>
      </c>
      <c r="G111">
        <f t="shared" si="1"/>
        <v>10.1</v>
      </c>
      <c r="H111">
        <v>2</v>
      </c>
    </row>
    <row r="112" spans="2:8">
      <c r="B112" s="3">
        <v>45593</v>
      </c>
      <c r="C112" t="s">
        <v>20</v>
      </c>
      <c r="D112">
        <f>VLOOKUP(C112,成本价!$C$2:$D$16,2,0)*H112</f>
        <v>3</v>
      </c>
      <c r="E112">
        <v>0</v>
      </c>
      <c r="G112">
        <f t="shared" si="1"/>
        <v>-3</v>
      </c>
      <c r="H112">
        <v>1</v>
      </c>
    </row>
    <row r="113" spans="2:8">
      <c r="B113" s="3">
        <v>45593</v>
      </c>
      <c r="C113" t="s">
        <v>12</v>
      </c>
      <c r="D113">
        <f>VLOOKUP(C113,成本价!$C$2:$D$16,2,0)*H113</f>
        <v>1.161</v>
      </c>
      <c r="E113">
        <v>3.75</v>
      </c>
      <c r="G113">
        <f t="shared" si="1"/>
        <v>2.589</v>
      </c>
      <c r="H113">
        <v>3</v>
      </c>
    </row>
    <row r="114" spans="2:8">
      <c r="B114" s="3">
        <v>45593</v>
      </c>
      <c r="C114" t="s">
        <v>44</v>
      </c>
      <c r="D114">
        <f>VLOOKUP(C114,成本价!$C$2:$D$16,2,0)*H114</f>
        <v>0.397</v>
      </c>
      <c r="E114">
        <v>0</v>
      </c>
      <c r="G114">
        <f t="shared" si="1"/>
        <v>-0.397</v>
      </c>
      <c r="H114">
        <v>1</v>
      </c>
    </row>
    <row r="115" spans="2:8">
      <c r="B115" s="3">
        <v>45593</v>
      </c>
      <c r="C115" t="s">
        <v>12</v>
      </c>
      <c r="D115">
        <f>VLOOKUP(C115,成本价!$C$2:$D$16,2,0)*H115</f>
        <v>1.935</v>
      </c>
      <c r="E115">
        <v>8.6</v>
      </c>
      <c r="G115">
        <f t="shared" si="1"/>
        <v>6.665</v>
      </c>
      <c r="H115">
        <v>5</v>
      </c>
    </row>
    <row r="116" spans="2:8">
      <c r="B116" s="3">
        <v>45593</v>
      </c>
      <c r="C116" t="s">
        <v>44</v>
      </c>
      <c r="D116">
        <f>VLOOKUP(C116,成本价!$C$2:$D$16,2,0)*H116</f>
        <v>1.985</v>
      </c>
      <c r="E116">
        <v>0</v>
      </c>
      <c r="G116">
        <f t="shared" si="1"/>
        <v>-1.985</v>
      </c>
      <c r="H116">
        <v>5</v>
      </c>
    </row>
    <row r="117" spans="2:8">
      <c r="B117" s="3">
        <v>45593</v>
      </c>
      <c r="C117" t="s">
        <v>12</v>
      </c>
      <c r="D117">
        <f>VLOOKUP(C117,成本价!$C$2:$D$16,2,0)*H117</f>
        <v>1.161</v>
      </c>
      <c r="E117">
        <v>8.6</v>
      </c>
      <c r="G117">
        <f t="shared" si="1"/>
        <v>7.439</v>
      </c>
      <c r="H117">
        <v>3</v>
      </c>
    </row>
    <row r="118" spans="2:8">
      <c r="B118" s="3">
        <v>45593</v>
      </c>
      <c r="C118" t="s">
        <v>44</v>
      </c>
      <c r="D118">
        <f>VLOOKUP(C118,成本价!$C$2:$D$16,2,0)*H118</f>
        <v>1.588</v>
      </c>
      <c r="E118">
        <v>0</v>
      </c>
      <c r="G118">
        <f t="shared" si="1"/>
        <v>-1.588</v>
      </c>
      <c r="H118">
        <v>4</v>
      </c>
    </row>
    <row r="119" spans="2:8">
      <c r="B119" s="3">
        <v>45593</v>
      </c>
      <c r="C119" t="s">
        <v>12</v>
      </c>
      <c r="D119">
        <f>VLOOKUP(C119,成本价!$C$2:$D$16,2,0)*H119</f>
        <v>2.322</v>
      </c>
      <c r="E119">
        <v>9.5</v>
      </c>
      <c r="G119">
        <f t="shared" si="1"/>
        <v>7.178</v>
      </c>
      <c r="H119">
        <v>6</v>
      </c>
    </row>
    <row r="120" spans="2:8">
      <c r="B120" s="3">
        <v>45593</v>
      </c>
      <c r="C120" t="s">
        <v>44</v>
      </c>
      <c r="D120">
        <f>VLOOKUP(C120,成本价!$C$2:$D$16,2,0)*H120</f>
        <v>1.191</v>
      </c>
      <c r="E120">
        <v>0</v>
      </c>
      <c r="G120">
        <f t="shared" si="1"/>
        <v>-1.191</v>
      </c>
      <c r="H120">
        <v>3</v>
      </c>
    </row>
    <row r="121" spans="2:8">
      <c r="B121" s="3">
        <v>45593</v>
      </c>
      <c r="C121" t="s">
        <v>12</v>
      </c>
      <c r="D121">
        <f>VLOOKUP(C121,成本价!$C$2:$D$16,2,0)*H121</f>
        <v>1.161</v>
      </c>
      <c r="E121">
        <v>9.5</v>
      </c>
      <c r="G121">
        <f t="shared" si="1"/>
        <v>8.339</v>
      </c>
      <c r="H121">
        <v>3</v>
      </c>
    </row>
    <row r="122" spans="2:8">
      <c r="B122" s="3">
        <v>45593</v>
      </c>
      <c r="C122" t="s">
        <v>12</v>
      </c>
      <c r="D122">
        <f>VLOOKUP(C122,成本价!$C$2:$D$16,2,0)*H122</f>
        <v>1.548</v>
      </c>
      <c r="E122">
        <v>8.6</v>
      </c>
      <c r="G122">
        <f t="shared" si="1"/>
        <v>7.052</v>
      </c>
      <c r="H122">
        <v>4</v>
      </c>
    </row>
    <row r="123" spans="2:8">
      <c r="B123" s="3">
        <v>45593</v>
      </c>
      <c r="C123" t="s">
        <v>44</v>
      </c>
      <c r="D123">
        <f>VLOOKUP(C123,成本价!$C$2:$D$16,2,0)*H123</f>
        <v>1.191</v>
      </c>
      <c r="E123">
        <v>0</v>
      </c>
      <c r="G123">
        <f t="shared" si="1"/>
        <v>-1.191</v>
      </c>
      <c r="H123">
        <v>3</v>
      </c>
    </row>
    <row r="124" spans="2:8">
      <c r="B124" s="3">
        <v>45593</v>
      </c>
      <c r="C124" t="s">
        <v>12</v>
      </c>
      <c r="D124">
        <f>VLOOKUP(C124,成本价!$C$2:$D$16,2,0)*H124</f>
        <v>0.387</v>
      </c>
      <c r="E124">
        <v>5.5</v>
      </c>
      <c r="G124">
        <f t="shared" si="1"/>
        <v>5.113</v>
      </c>
      <c r="H124">
        <v>1</v>
      </c>
    </row>
    <row r="125" spans="2:8">
      <c r="B125" s="3">
        <v>45593</v>
      </c>
      <c r="C125" t="s">
        <v>44</v>
      </c>
      <c r="D125">
        <f>VLOOKUP(C125,成本价!$C$2:$D$16,2,0)*H125</f>
        <v>1.588</v>
      </c>
      <c r="E125">
        <v>0</v>
      </c>
      <c r="G125">
        <f t="shared" si="1"/>
        <v>-1.588</v>
      </c>
      <c r="H125">
        <v>4</v>
      </c>
    </row>
    <row r="126" spans="2:8">
      <c r="B126" s="3">
        <v>45593</v>
      </c>
      <c r="C126" t="s">
        <v>12</v>
      </c>
      <c r="D126">
        <f>VLOOKUP(C126,成本价!$C$2:$D$16,2,0)*H126</f>
        <v>1.161</v>
      </c>
      <c r="E126">
        <v>7.8</v>
      </c>
      <c r="G126">
        <f t="shared" si="1"/>
        <v>6.639</v>
      </c>
      <c r="H126">
        <v>3</v>
      </c>
    </row>
    <row r="127" spans="2:8">
      <c r="B127" s="3">
        <v>45593</v>
      </c>
      <c r="C127" t="s">
        <v>44</v>
      </c>
      <c r="D127">
        <f>VLOOKUP(C127,成本价!$C$2:$D$16,2,0)*H127</f>
        <v>1.191</v>
      </c>
      <c r="E127">
        <v>0</v>
      </c>
      <c r="G127">
        <f t="shared" si="1"/>
        <v>-1.191</v>
      </c>
      <c r="H127">
        <v>3</v>
      </c>
    </row>
    <row r="128" spans="2:8">
      <c r="B128" s="3">
        <v>45593</v>
      </c>
      <c r="C128" t="s">
        <v>16</v>
      </c>
      <c r="D128">
        <f>VLOOKUP(C128,成本价!$C$2:$D$16,2,0)*H128</f>
        <v>2.7</v>
      </c>
      <c r="E128">
        <v>6.5</v>
      </c>
      <c r="G128">
        <f t="shared" si="1"/>
        <v>3.8</v>
      </c>
      <c r="H128">
        <v>1</v>
      </c>
    </row>
    <row r="129" spans="2:8">
      <c r="B129" s="3">
        <v>45593</v>
      </c>
      <c r="C129" t="s">
        <v>20</v>
      </c>
      <c r="D129">
        <f>VLOOKUP(C129,成本价!$C$2:$D$16,2,0)*H129</f>
        <v>9</v>
      </c>
      <c r="E129">
        <v>15.5</v>
      </c>
      <c r="G129">
        <f t="shared" si="1"/>
        <v>6.5</v>
      </c>
      <c r="H129">
        <v>3</v>
      </c>
    </row>
    <row r="130" spans="2:9">
      <c r="B130" s="3">
        <v>45593</v>
      </c>
      <c r="I130">
        <f>156.07+12.81</f>
        <v>168.88</v>
      </c>
    </row>
    <row r="131" spans="2:8">
      <c r="B131" s="29">
        <v>45594</v>
      </c>
      <c r="C131" t="s">
        <v>16</v>
      </c>
      <c r="D131">
        <f>VLOOKUP(C131,成本价!$C$2:$D$16,2,0)*H131</f>
        <v>8.1</v>
      </c>
      <c r="E131">
        <v>15.5</v>
      </c>
      <c r="G131">
        <f t="shared" si="1"/>
        <v>7.4</v>
      </c>
      <c r="H131">
        <v>3</v>
      </c>
    </row>
    <row r="132" spans="2:8">
      <c r="B132" s="3">
        <v>45594</v>
      </c>
      <c r="C132" t="s">
        <v>12</v>
      </c>
      <c r="D132">
        <f>VLOOKUP(C132,成本价!$C$2:$D$16,2,0)*H132</f>
        <v>0.774</v>
      </c>
      <c r="E132">
        <v>7.71</v>
      </c>
      <c r="G132">
        <f t="shared" si="1"/>
        <v>6.936</v>
      </c>
      <c r="H132">
        <v>2</v>
      </c>
    </row>
    <row r="133" spans="2:8">
      <c r="B133" s="3">
        <v>45594</v>
      </c>
      <c r="C133" t="s">
        <v>44</v>
      </c>
      <c r="D133">
        <f>VLOOKUP(C133,成本价!$C$2:$D$16,2,0)*H133</f>
        <v>1.588</v>
      </c>
      <c r="E133">
        <v>0</v>
      </c>
      <c r="G133">
        <f t="shared" si="1"/>
        <v>-1.588</v>
      </c>
      <c r="H133">
        <v>4</v>
      </c>
    </row>
    <row r="134" spans="2:8">
      <c r="B134" s="3">
        <v>45594</v>
      </c>
      <c r="C134" t="s">
        <v>45</v>
      </c>
      <c r="D134">
        <f>VLOOKUP(C134,成本价!$C$2:$D$16,2,0)*H134</f>
        <v>7.2</v>
      </c>
      <c r="E134">
        <v>34.9</v>
      </c>
      <c r="G134">
        <f t="shared" si="1"/>
        <v>27.7</v>
      </c>
      <c r="H134">
        <v>3</v>
      </c>
    </row>
    <row r="135" spans="2:8">
      <c r="B135" s="3">
        <v>45594</v>
      </c>
      <c r="C135" t="s">
        <v>46</v>
      </c>
      <c r="D135">
        <f>VLOOKUP(C135,成本价!$C$2:$D$16,2,0)*H135</f>
        <v>10.8</v>
      </c>
      <c r="E135">
        <v>0</v>
      </c>
      <c r="G135">
        <f t="shared" si="1"/>
        <v>-10.8</v>
      </c>
      <c r="H135">
        <v>4</v>
      </c>
    </row>
    <row r="136" spans="2:8">
      <c r="B136" s="3">
        <v>45594</v>
      </c>
      <c r="C136" t="s">
        <v>33</v>
      </c>
      <c r="D136">
        <f>VLOOKUP(C136,成本价!$C$2:$D$16,2,0)*H136</f>
        <v>5.1</v>
      </c>
      <c r="E136">
        <v>27.7</v>
      </c>
      <c r="G136">
        <f t="shared" si="1"/>
        <v>22.6</v>
      </c>
      <c r="H136">
        <v>3</v>
      </c>
    </row>
    <row r="137" spans="2:8">
      <c r="B137" s="3">
        <v>45594</v>
      </c>
      <c r="C137" t="s">
        <v>27</v>
      </c>
      <c r="D137">
        <f>VLOOKUP(C137,成本价!$C$2:$D$16,2,0)*H137</f>
        <v>3.6</v>
      </c>
      <c r="E137">
        <v>0</v>
      </c>
      <c r="G137">
        <f t="shared" si="1"/>
        <v>-3.6</v>
      </c>
      <c r="H137">
        <v>2</v>
      </c>
    </row>
    <row r="138" spans="2:8">
      <c r="B138" s="3">
        <v>45594</v>
      </c>
      <c r="C138" t="s">
        <v>33</v>
      </c>
      <c r="D138">
        <f>VLOOKUP(C138,成本价!$C$2:$D$16,2,0)*H138</f>
        <v>1.7</v>
      </c>
      <c r="E138">
        <v>4.9</v>
      </c>
      <c r="G138">
        <f t="shared" si="1"/>
        <v>3.2</v>
      </c>
      <c r="H138">
        <v>1</v>
      </c>
    </row>
    <row r="139" spans="2:8">
      <c r="B139" s="3">
        <v>45594</v>
      </c>
      <c r="C139" t="s">
        <v>33</v>
      </c>
      <c r="D139">
        <f>VLOOKUP(C139,成本价!$C$2:$D$16,2,0)*H139</f>
        <v>5.1</v>
      </c>
      <c r="E139">
        <v>13.3</v>
      </c>
      <c r="G139">
        <f t="shared" si="1"/>
        <v>8.2</v>
      </c>
      <c r="H139">
        <v>3</v>
      </c>
    </row>
    <row r="140" spans="2:8">
      <c r="B140" s="3">
        <v>45594</v>
      </c>
      <c r="C140" t="s">
        <v>16</v>
      </c>
      <c r="D140">
        <f>VLOOKUP(C140,成本价!$C$2:$D$16,2,0)*H140</f>
        <v>5.4</v>
      </c>
      <c r="E140">
        <v>16.6</v>
      </c>
      <c r="G140">
        <f t="shared" ref="G140:G188" si="2">E140-D140</f>
        <v>11.2</v>
      </c>
      <c r="H140">
        <v>2</v>
      </c>
    </row>
    <row r="141" spans="2:8">
      <c r="B141" s="3">
        <v>45594</v>
      </c>
      <c r="C141" t="s">
        <v>20</v>
      </c>
      <c r="D141">
        <f>VLOOKUP(C141,成本价!$C$2:$D$16,2,0)*H141</f>
        <v>3</v>
      </c>
      <c r="E141">
        <v>0</v>
      </c>
      <c r="G141">
        <f t="shared" si="2"/>
        <v>-3</v>
      </c>
      <c r="H141">
        <v>1</v>
      </c>
    </row>
    <row r="142" spans="2:8">
      <c r="B142" s="3">
        <v>45594</v>
      </c>
      <c r="C142" t="s">
        <v>33</v>
      </c>
      <c r="D142">
        <f>VLOOKUP(C142,成本价!$C$2:$D$16,2,0)*H142</f>
        <v>1.7</v>
      </c>
      <c r="E142">
        <v>6.89</v>
      </c>
      <c r="G142">
        <f t="shared" si="2"/>
        <v>5.19</v>
      </c>
      <c r="H142">
        <v>1</v>
      </c>
    </row>
    <row r="143" spans="2:8">
      <c r="B143" s="3">
        <v>45594</v>
      </c>
      <c r="C143" t="s">
        <v>23</v>
      </c>
      <c r="D143">
        <f>VLOOKUP(C143,成本价!$C$2:$D$16,2,0)*H143</f>
        <v>4.16</v>
      </c>
      <c r="E143">
        <v>15.39</v>
      </c>
      <c r="G143">
        <f t="shared" si="2"/>
        <v>11.23</v>
      </c>
      <c r="H143">
        <v>2</v>
      </c>
    </row>
    <row r="144" spans="2:8">
      <c r="B144" s="3">
        <v>45594</v>
      </c>
      <c r="C144" t="s">
        <v>28</v>
      </c>
      <c r="D144">
        <f>VLOOKUP(C144,成本价!$C$2:$D$16,2,0)*H144</f>
        <v>2.22</v>
      </c>
      <c r="E144">
        <v>0</v>
      </c>
      <c r="G144">
        <f t="shared" si="2"/>
        <v>-2.22</v>
      </c>
      <c r="H144">
        <v>1</v>
      </c>
    </row>
    <row r="145" spans="2:8">
      <c r="B145" s="3">
        <v>45594</v>
      </c>
      <c r="C145" t="s">
        <v>23</v>
      </c>
      <c r="D145">
        <f>VLOOKUP(C145,成本价!$C$2:$D$16,2,0)*H145</f>
        <v>2.08</v>
      </c>
      <c r="E145">
        <v>15.39</v>
      </c>
      <c r="G145">
        <f t="shared" si="2"/>
        <v>13.31</v>
      </c>
      <c r="H145">
        <v>1</v>
      </c>
    </row>
    <row r="146" spans="2:8">
      <c r="B146" s="3">
        <v>45594</v>
      </c>
      <c r="C146" t="s">
        <v>28</v>
      </c>
      <c r="D146">
        <f>VLOOKUP(C146,成本价!$C$2:$D$16,2,0)*H146</f>
        <v>4.44</v>
      </c>
      <c r="G146">
        <f t="shared" si="2"/>
        <v>-4.44</v>
      </c>
      <c r="H146">
        <v>2</v>
      </c>
    </row>
    <row r="147" spans="2:8">
      <c r="B147" s="3">
        <v>45594</v>
      </c>
      <c r="C147" t="s">
        <v>23</v>
      </c>
      <c r="D147">
        <f>VLOOKUP(C147,成本价!$C$2:$D$16,2,0)*H147</f>
        <v>2.08</v>
      </c>
      <c r="E147">
        <v>6.51</v>
      </c>
      <c r="G147">
        <f t="shared" si="2"/>
        <v>4.43</v>
      </c>
      <c r="H147">
        <v>1</v>
      </c>
    </row>
    <row r="148" spans="2:9">
      <c r="B148" s="3">
        <v>45594</v>
      </c>
      <c r="I148">
        <f>100.86-33.39</f>
        <v>67.47</v>
      </c>
    </row>
    <row r="149" spans="2:8">
      <c r="B149" s="29">
        <v>45595</v>
      </c>
      <c r="C149" t="s">
        <v>12</v>
      </c>
      <c r="D149">
        <f>VLOOKUP(C149,成本价!$C$2:$D$16,2,0)*H149</f>
        <v>1.161</v>
      </c>
      <c r="E149">
        <v>6.49</v>
      </c>
      <c r="G149">
        <f t="shared" si="2"/>
        <v>5.329</v>
      </c>
      <c r="H149">
        <v>3</v>
      </c>
    </row>
    <row r="150" spans="2:8">
      <c r="B150" s="3">
        <v>45595</v>
      </c>
      <c r="C150" t="s">
        <v>44</v>
      </c>
      <c r="D150">
        <f>VLOOKUP(C150,成本价!$C$2:$D$16,2,0)*H150</f>
        <v>0.397</v>
      </c>
      <c r="E150">
        <v>0</v>
      </c>
      <c r="G150">
        <f t="shared" si="2"/>
        <v>-0.397</v>
      </c>
      <c r="H150">
        <v>1</v>
      </c>
    </row>
    <row r="151" spans="2:8">
      <c r="B151" s="3">
        <v>45595</v>
      </c>
      <c r="C151" t="s">
        <v>12</v>
      </c>
      <c r="D151">
        <f>VLOOKUP(C151,成本价!$C$2:$D$16,2,0)*H151</f>
        <v>2.709</v>
      </c>
      <c r="E151">
        <v>12.4</v>
      </c>
      <c r="G151">
        <f t="shared" si="2"/>
        <v>9.691</v>
      </c>
      <c r="H151">
        <v>7</v>
      </c>
    </row>
    <row r="152" spans="2:8">
      <c r="B152" s="3">
        <v>45595</v>
      </c>
      <c r="C152" t="s">
        <v>44</v>
      </c>
      <c r="D152">
        <f>VLOOKUP(C152,成本价!$C$2:$D$16,2,0)*H152</f>
        <v>1.191</v>
      </c>
      <c r="E152">
        <v>0</v>
      </c>
      <c r="G152">
        <f t="shared" si="2"/>
        <v>-1.191</v>
      </c>
      <c r="H152">
        <v>3</v>
      </c>
    </row>
    <row r="153" spans="2:8">
      <c r="B153" s="3">
        <v>45595</v>
      </c>
      <c r="C153" t="s">
        <v>44</v>
      </c>
      <c r="D153">
        <f>VLOOKUP(C153,成本价!$C$2:$D$16,2,0)*H153</f>
        <v>3.97</v>
      </c>
      <c r="E153">
        <v>12.4</v>
      </c>
      <c r="G153">
        <f t="shared" si="2"/>
        <v>8.43</v>
      </c>
      <c r="H153">
        <v>10</v>
      </c>
    </row>
    <row r="154" spans="2:8">
      <c r="B154" s="3">
        <v>45595</v>
      </c>
      <c r="C154" t="s">
        <v>40</v>
      </c>
      <c r="D154">
        <f>VLOOKUP(C154,成本价!$C$2:$D$16,2,0)*H154</f>
        <v>5.64</v>
      </c>
      <c r="E154">
        <v>25.3</v>
      </c>
      <c r="G154">
        <f t="shared" si="2"/>
        <v>19.66</v>
      </c>
      <c r="H154">
        <v>3</v>
      </c>
    </row>
    <row r="155" spans="2:8">
      <c r="B155" s="3">
        <v>45595</v>
      </c>
      <c r="C155" t="s">
        <v>43</v>
      </c>
      <c r="D155">
        <f>VLOOKUP(C155,成本价!$C$2:$D$16,2,0)*H155</f>
        <v>4.04</v>
      </c>
      <c r="E155">
        <v>0</v>
      </c>
      <c r="G155">
        <f t="shared" si="2"/>
        <v>-4.04</v>
      </c>
      <c r="H155">
        <v>2</v>
      </c>
    </row>
    <row r="156" spans="2:8">
      <c r="B156" s="3">
        <v>45595</v>
      </c>
      <c r="C156" t="s">
        <v>33</v>
      </c>
      <c r="D156">
        <f>VLOOKUP(C156,成本价!$C$2:$D$16,2,0)*H156</f>
        <v>1.7</v>
      </c>
      <c r="E156">
        <v>4.9</v>
      </c>
      <c r="G156">
        <f t="shared" si="2"/>
        <v>3.2</v>
      </c>
      <c r="H156">
        <v>1</v>
      </c>
    </row>
    <row r="157" spans="2:8">
      <c r="B157" s="3">
        <v>45595</v>
      </c>
      <c r="C157" t="s">
        <v>33</v>
      </c>
      <c r="D157">
        <f>VLOOKUP(C157,成本价!$C$2:$D$16,2,0)*H157</f>
        <v>1.7</v>
      </c>
      <c r="E157">
        <v>4.9</v>
      </c>
      <c r="G157">
        <f t="shared" si="2"/>
        <v>3.2</v>
      </c>
      <c r="H157">
        <v>1</v>
      </c>
    </row>
    <row r="158" spans="2:8">
      <c r="B158" s="3">
        <v>45595</v>
      </c>
      <c r="C158" t="s">
        <v>33</v>
      </c>
      <c r="D158">
        <f>VLOOKUP(C158,成本价!$C$2:$D$16,2,0)*H158</f>
        <v>5.1</v>
      </c>
      <c r="E158">
        <v>18.05</v>
      </c>
      <c r="G158">
        <f t="shared" si="2"/>
        <v>12.95</v>
      </c>
      <c r="H158">
        <v>3</v>
      </c>
    </row>
    <row r="159" spans="2:8">
      <c r="B159" s="3">
        <v>45595</v>
      </c>
      <c r="C159" t="s">
        <v>33</v>
      </c>
      <c r="D159">
        <f>VLOOKUP(C159,成本价!$C$2:$D$16,2,0)*H159</f>
        <v>1.7</v>
      </c>
      <c r="E159">
        <v>5.9</v>
      </c>
      <c r="G159">
        <f t="shared" si="2"/>
        <v>4.2</v>
      </c>
      <c r="H159">
        <v>1</v>
      </c>
    </row>
    <row r="160" spans="2:8">
      <c r="B160" s="3">
        <v>45595</v>
      </c>
      <c r="C160" t="s">
        <v>33</v>
      </c>
      <c r="D160">
        <f>VLOOKUP(C160,成本价!$C$2:$D$16,2,0)*H160</f>
        <v>1.7</v>
      </c>
      <c r="E160">
        <v>6.54</v>
      </c>
      <c r="G160">
        <f t="shared" si="2"/>
        <v>4.84</v>
      </c>
      <c r="H160">
        <v>1</v>
      </c>
    </row>
    <row r="161" spans="2:8">
      <c r="B161" s="3">
        <v>45595</v>
      </c>
      <c r="C161" t="s">
        <v>12</v>
      </c>
      <c r="D161">
        <f>VLOOKUP(C161,成本价!$C$2:$D$16,2,0)*H161</f>
        <v>0.774</v>
      </c>
      <c r="E161">
        <v>10.46</v>
      </c>
      <c r="G161">
        <f t="shared" si="2"/>
        <v>9.686</v>
      </c>
      <c r="H161">
        <v>2</v>
      </c>
    </row>
    <row r="162" spans="2:8">
      <c r="B162" s="3">
        <v>45595</v>
      </c>
      <c r="C162" t="s">
        <v>44</v>
      </c>
      <c r="D162">
        <f>VLOOKUP(C162,成本价!$C$2:$D$16,2,0)*H162</f>
        <v>1.588</v>
      </c>
      <c r="E162">
        <v>0</v>
      </c>
      <c r="G162">
        <f t="shared" si="2"/>
        <v>-1.588</v>
      </c>
      <c r="H162">
        <v>4</v>
      </c>
    </row>
    <row r="163" spans="2:8">
      <c r="B163" s="3">
        <v>45595</v>
      </c>
      <c r="C163" t="s">
        <v>12</v>
      </c>
      <c r="D163">
        <f>VLOOKUP(C163,成本价!$C$2:$D$16,2,0)*H163</f>
        <v>1.935</v>
      </c>
      <c r="E163">
        <v>17.2</v>
      </c>
      <c r="G163">
        <f t="shared" si="2"/>
        <v>15.265</v>
      </c>
      <c r="H163">
        <v>5</v>
      </c>
    </row>
    <row r="164" spans="2:8">
      <c r="B164" s="3">
        <v>45595</v>
      </c>
      <c r="C164" t="s">
        <v>44</v>
      </c>
      <c r="D164">
        <f>VLOOKUP(C164,成本价!$C$2:$D$16,2,0)*H164</f>
        <v>0.794</v>
      </c>
      <c r="E164">
        <v>0</v>
      </c>
      <c r="G164">
        <f t="shared" si="2"/>
        <v>-0.794</v>
      </c>
      <c r="H164">
        <v>2</v>
      </c>
    </row>
    <row r="165" spans="2:8">
      <c r="B165" s="3">
        <v>45595</v>
      </c>
      <c r="C165" t="s">
        <v>16</v>
      </c>
      <c r="D165">
        <f>VLOOKUP(C165,成本价!$C$2:$D$16,2,0)*H165</f>
        <v>10.8</v>
      </c>
      <c r="E165">
        <v>23.51</v>
      </c>
      <c r="G165">
        <f t="shared" si="2"/>
        <v>12.71</v>
      </c>
      <c r="H165">
        <v>4</v>
      </c>
    </row>
    <row r="166" spans="2:8">
      <c r="B166" s="3">
        <v>45595</v>
      </c>
      <c r="C166" t="s">
        <v>16</v>
      </c>
      <c r="D166">
        <f>VLOOKUP(C166,成本价!$C$2:$D$16,2,0)*H166</f>
        <v>8.1</v>
      </c>
      <c r="E166">
        <v>36.4</v>
      </c>
      <c r="G166">
        <f t="shared" si="2"/>
        <v>28.3</v>
      </c>
      <c r="H166">
        <v>3</v>
      </c>
    </row>
    <row r="167" spans="2:8">
      <c r="B167" s="3">
        <v>45595</v>
      </c>
      <c r="C167" t="s">
        <v>20</v>
      </c>
      <c r="D167">
        <f>VLOOKUP(C167,成本价!$C$2:$D$16,2,0)*H167</f>
        <v>12</v>
      </c>
      <c r="G167">
        <f t="shared" si="2"/>
        <v>-12</v>
      </c>
      <c r="H167">
        <v>4</v>
      </c>
    </row>
    <row r="168" spans="2:9">
      <c r="B168" s="3">
        <v>45595</v>
      </c>
      <c r="I168">
        <f>44.6-7.47+33.39</f>
        <v>70.52</v>
      </c>
    </row>
    <row r="169" spans="2:8">
      <c r="B169" s="29">
        <v>45596</v>
      </c>
      <c r="C169" t="s">
        <v>36</v>
      </c>
      <c r="D169">
        <f>VLOOKUP(C169,成本价!$C$2:$D$16,2,0)*H169</f>
        <v>2.32</v>
      </c>
      <c r="E169">
        <v>5.9</v>
      </c>
      <c r="G169">
        <f t="shared" si="2"/>
        <v>3.58</v>
      </c>
      <c r="H169">
        <v>1</v>
      </c>
    </row>
    <row r="170" spans="2:8">
      <c r="B170" s="3">
        <v>45596</v>
      </c>
      <c r="C170" t="s">
        <v>12</v>
      </c>
      <c r="D170">
        <f>VLOOKUP(C170,成本价!$C$2:$D$16,2,0)*H170</f>
        <v>3.096</v>
      </c>
      <c r="E170">
        <v>14.38</v>
      </c>
      <c r="G170">
        <f t="shared" si="2"/>
        <v>11.284</v>
      </c>
      <c r="H170">
        <v>8</v>
      </c>
    </row>
    <row r="171" spans="2:8">
      <c r="B171" s="3">
        <v>45596</v>
      </c>
      <c r="C171" t="s">
        <v>44</v>
      </c>
      <c r="D171">
        <f>VLOOKUP(C171,成本价!$C$2:$D$16,2,0)*H171</f>
        <v>1.588</v>
      </c>
      <c r="E171">
        <v>0</v>
      </c>
      <c r="G171">
        <f t="shared" si="2"/>
        <v>-1.588</v>
      </c>
      <c r="H171">
        <v>4</v>
      </c>
    </row>
    <row r="172" spans="2:8">
      <c r="B172" s="3">
        <v>45596</v>
      </c>
      <c r="C172" t="s">
        <v>27</v>
      </c>
      <c r="D172">
        <f>VLOOKUP(C172,成本价!$C$2:$D$16,2,0)*H172</f>
        <v>2.7</v>
      </c>
      <c r="E172">
        <v>7.9</v>
      </c>
      <c r="G172">
        <f t="shared" si="2"/>
        <v>5.2</v>
      </c>
      <c r="H172">
        <v>1.5</v>
      </c>
    </row>
    <row r="173" spans="2:8">
      <c r="B173" s="3">
        <v>45596</v>
      </c>
      <c r="C173" t="s">
        <v>33</v>
      </c>
      <c r="D173">
        <f>VLOOKUP(C173,成本价!$C$2:$D$16,2,0)*H173</f>
        <v>2.55</v>
      </c>
      <c r="E173">
        <v>5.9</v>
      </c>
      <c r="G173">
        <f t="shared" si="2"/>
        <v>3.35</v>
      </c>
      <c r="H173">
        <v>1.5</v>
      </c>
    </row>
    <row r="174" spans="2:8">
      <c r="B174" s="3">
        <v>45596</v>
      </c>
      <c r="C174" t="s">
        <v>37</v>
      </c>
      <c r="D174">
        <f>VLOOKUP(C174,成本价!$C$2:$D$16,2,0)*H174</f>
        <v>7.62</v>
      </c>
      <c r="E174">
        <v>19.05</v>
      </c>
      <c r="G174">
        <f t="shared" si="2"/>
        <v>11.43</v>
      </c>
      <c r="H174">
        <v>3</v>
      </c>
    </row>
    <row r="175" spans="2:8">
      <c r="B175" s="3">
        <v>45596</v>
      </c>
      <c r="C175" t="s">
        <v>36</v>
      </c>
      <c r="D175">
        <f>VLOOKUP(C175,成本价!$C$2:$D$16,2,0)*H175</f>
        <v>4.64</v>
      </c>
      <c r="E175">
        <v>18.62</v>
      </c>
      <c r="G175">
        <f t="shared" si="2"/>
        <v>13.98</v>
      </c>
      <c r="H175">
        <v>2</v>
      </c>
    </row>
    <row r="176" spans="2:8">
      <c r="B176" s="3">
        <v>45596</v>
      </c>
      <c r="C176" t="s">
        <v>37</v>
      </c>
      <c r="D176">
        <f>VLOOKUP(C176,成本价!$C$2:$D$16,2,0)*H176</f>
        <v>2.54</v>
      </c>
      <c r="E176">
        <v>0</v>
      </c>
      <c r="G176">
        <f t="shared" si="2"/>
        <v>-2.54</v>
      </c>
      <c r="H176">
        <v>1</v>
      </c>
    </row>
    <row r="177" spans="2:8">
      <c r="B177" s="3">
        <v>45596</v>
      </c>
      <c r="C177" t="s">
        <v>12</v>
      </c>
      <c r="D177">
        <f>VLOOKUP(C177,成本价!$C$2:$D$16,2,0)*H177</f>
        <v>1.548</v>
      </c>
      <c r="E177">
        <v>11.6</v>
      </c>
      <c r="G177">
        <f t="shared" si="2"/>
        <v>10.052</v>
      </c>
      <c r="H177">
        <v>4</v>
      </c>
    </row>
    <row r="178" spans="2:8">
      <c r="B178" s="3">
        <v>45596</v>
      </c>
      <c r="C178" t="s">
        <v>44</v>
      </c>
      <c r="D178">
        <f>VLOOKUP(C178,成本价!$C$2:$D$16,2,0)*H178</f>
        <v>1.588</v>
      </c>
      <c r="E178">
        <v>0</v>
      </c>
      <c r="G178">
        <f t="shared" si="2"/>
        <v>-1.588</v>
      </c>
      <c r="H178">
        <v>4</v>
      </c>
    </row>
    <row r="179" spans="2:8">
      <c r="B179" s="3">
        <v>45596</v>
      </c>
      <c r="C179" t="s">
        <v>33</v>
      </c>
      <c r="D179">
        <f>VLOOKUP(C179,成本价!$C$2:$D$16,2,0)*H179</f>
        <v>3.4</v>
      </c>
      <c r="E179">
        <v>10.19</v>
      </c>
      <c r="G179">
        <f t="shared" si="2"/>
        <v>6.79</v>
      </c>
      <c r="H179">
        <v>2</v>
      </c>
    </row>
    <row r="180" spans="2:8">
      <c r="B180" s="3">
        <v>45596</v>
      </c>
      <c r="C180" t="s">
        <v>23</v>
      </c>
      <c r="D180">
        <f>VLOOKUP(C180,成本价!$C$2:$D$16,2,0)*H180</f>
        <v>6.24</v>
      </c>
      <c r="E180">
        <v>30.97</v>
      </c>
      <c r="G180">
        <f t="shared" si="2"/>
        <v>24.73</v>
      </c>
      <c r="H180">
        <v>3</v>
      </c>
    </row>
    <row r="181" spans="2:8">
      <c r="B181" s="3">
        <v>45596</v>
      </c>
      <c r="C181" t="s">
        <v>28</v>
      </c>
      <c r="D181">
        <f>VLOOKUP(C181,成本价!$C$2:$D$16,2,0)*H181</f>
        <v>8.88</v>
      </c>
      <c r="G181">
        <f t="shared" si="2"/>
        <v>-8.88</v>
      </c>
      <c r="H181">
        <v>4</v>
      </c>
    </row>
    <row r="182" spans="2:8">
      <c r="B182" s="3">
        <v>45596</v>
      </c>
      <c r="C182" t="s">
        <v>40</v>
      </c>
      <c r="D182">
        <f>VLOOKUP(C182,成本价!$C$2:$D$16,2,0)*H182</f>
        <v>47</v>
      </c>
      <c r="E182">
        <v>76.88</v>
      </c>
      <c r="G182">
        <f t="shared" si="2"/>
        <v>29.88</v>
      </c>
      <c r="H182">
        <v>25</v>
      </c>
    </row>
    <row r="183" spans="2:6">
      <c r="B183" s="3">
        <v>45596</v>
      </c>
      <c r="F183">
        <v>369</v>
      </c>
    </row>
    <row r="184" spans="2:8">
      <c r="B184" s="3">
        <v>45596</v>
      </c>
      <c r="C184" t="s">
        <v>23</v>
      </c>
      <c r="D184">
        <f>VLOOKUP(C184,成本价!$C$2:$D$16,2,0)*H184</f>
        <v>2.08</v>
      </c>
      <c r="E184">
        <v>6.32</v>
      </c>
      <c r="G184">
        <f t="shared" si="2"/>
        <v>4.24</v>
      </c>
      <c r="H184">
        <v>1</v>
      </c>
    </row>
    <row r="185" spans="2:8">
      <c r="B185" s="3">
        <v>45596</v>
      </c>
      <c r="C185" t="s">
        <v>36</v>
      </c>
      <c r="D185">
        <f>VLOOKUP(C185,成本价!$C$2:$D$16,2,0)*H185</f>
        <v>6.96</v>
      </c>
      <c r="E185">
        <v>14.22</v>
      </c>
      <c r="G185">
        <f t="shared" si="2"/>
        <v>7.26</v>
      </c>
      <c r="H185">
        <v>3</v>
      </c>
    </row>
    <row r="186" spans="2:8">
      <c r="B186" s="3">
        <v>45596</v>
      </c>
      <c r="C186" t="s">
        <v>23</v>
      </c>
      <c r="D186">
        <f>VLOOKUP(C186,成本价!$C$2:$D$16,2,0)*H186</f>
        <v>2.08</v>
      </c>
      <c r="E186">
        <v>6.32</v>
      </c>
      <c r="G186">
        <f t="shared" si="2"/>
        <v>4.24</v>
      </c>
      <c r="H186">
        <v>1</v>
      </c>
    </row>
    <row r="187" spans="2:8">
      <c r="B187" s="3">
        <v>45596</v>
      </c>
      <c r="C187" t="s">
        <v>45</v>
      </c>
      <c r="D187">
        <f>VLOOKUP(C187,成本价!$C$2:$D$16,2,0)*H187</f>
        <v>4.8</v>
      </c>
      <c r="E187">
        <v>17.08</v>
      </c>
      <c r="G187">
        <f t="shared" si="2"/>
        <v>12.28</v>
      </c>
      <c r="H187">
        <v>2</v>
      </c>
    </row>
    <row r="188" spans="2:8">
      <c r="B188" s="3">
        <v>45596</v>
      </c>
      <c r="C188" t="s">
        <v>46</v>
      </c>
      <c r="D188">
        <f>VLOOKUP(C188,成本价!$C$2:$D$16,2,0)*H188</f>
        <v>2.7</v>
      </c>
      <c r="G188">
        <f t="shared" si="2"/>
        <v>-2.7</v>
      </c>
      <c r="H188">
        <v>1</v>
      </c>
    </row>
    <row r="189" spans="2:9">
      <c r="B189" s="3">
        <v>45596</v>
      </c>
      <c r="I189">
        <f>81.5+7.47</f>
        <v>88.97</v>
      </c>
    </row>
    <row r="190" spans="2:8">
      <c r="B190" s="29">
        <v>45597</v>
      </c>
      <c r="C190" t="s">
        <v>36</v>
      </c>
      <c r="D190">
        <f>VLOOKUP(C190,成本价!$C$2:$D$16,2,0)*H190</f>
        <v>2.32</v>
      </c>
      <c r="E190">
        <v>8.31</v>
      </c>
      <c r="F190">
        <v>3.5</v>
      </c>
      <c r="G190">
        <f t="shared" ref="G190:G291" si="3">E190-D190</f>
        <v>5.99</v>
      </c>
      <c r="H190">
        <v>1</v>
      </c>
    </row>
    <row r="191" spans="2:8">
      <c r="B191" s="3">
        <v>45597</v>
      </c>
      <c r="C191" t="s">
        <v>12</v>
      </c>
      <c r="D191">
        <f>VLOOKUP(C191,成本价!$C$2:$D$16,2,0)*H191</f>
        <v>2.709</v>
      </c>
      <c r="E191">
        <v>10.9</v>
      </c>
      <c r="F191">
        <v>3.5</v>
      </c>
      <c r="G191">
        <f t="shared" si="3"/>
        <v>8.191</v>
      </c>
      <c r="H191">
        <v>7</v>
      </c>
    </row>
    <row r="192" spans="2:8">
      <c r="B192" s="3">
        <v>45597</v>
      </c>
      <c r="C192" t="s">
        <v>44</v>
      </c>
      <c r="D192">
        <f>VLOOKUP(C192,成本价!$C$2:$D$16,2,0)*H192</f>
        <v>1.191</v>
      </c>
      <c r="E192">
        <v>0</v>
      </c>
      <c r="G192">
        <f t="shared" si="3"/>
        <v>-1.191</v>
      </c>
      <c r="H192">
        <v>3</v>
      </c>
    </row>
    <row r="193" spans="2:8">
      <c r="B193" s="3">
        <v>45597</v>
      </c>
      <c r="C193" t="s">
        <v>16</v>
      </c>
      <c r="D193">
        <f>VLOOKUP(C193,成本价!$C$2:$D$16,2,0)*H193</f>
        <v>8.1</v>
      </c>
      <c r="E193">
        <v>18.01</v>
      </c>
      <c r="F193">
        <v>3.5</v>
      </c>
      <c r="G193">
        <f t="shared" si="3"/>
        <v>9.91</v>
      </c>
      <c r="H193">
        <v>3</v>
      </c>
    </row>
    <row r="194" spans="2:8">
      <c r="B194" s="3">
        <v>45597</v>
      </c>
      <c r="C194" t="s">
        <v>33</v>
      </c>
      <c r="D194">
        <f>VLOOKUP(C194,成本价!$C$2:$D$16,2,0)*H194</f>
        <v>1.7</v>
      </c>
      <c r="E194">
        <v>28</v>
      </c>
      <c r="F194">
        <v>3.5</v>
      </c>
      <c r="G194">
        <f t="shared" si="3"/>
        <v>26.3</v>
      </c>
      <c r="H194">
        <v>1</v>
      </c>
    </row>
    <row r="195" spans="2:8">
      <c r="B195" s="3">
        <v>45597</v>
      </c>
      <c r="C195" t="s">
        <v>27</v>
      </c>
      <c r="D195">
        <f>VLOOKUP(C195,成本价!$C$2:$D$16,2,0)*H195</f>
        <v>7.2</v>
      </c>
      <c r="E195">
        <v>0</v>
      </c>
      <c r="G195">
        <f t="shared" si="3"/>
        <v>-7.2</v>
      </c>
      <c r="H195">
        <v>4</v>
      </c>
    </row>
    <row r="196" spans="2:8">
      <c r="B196" s="3">
        <v>45597</v>
      </c>
      <c r="C196" t="s">
        <v>23</v>
      </c>
      <c r="D196">
        <f>VLOOKUP(C196,成本价!$C$2:$D$16,2,0)*H196</f>
        <v>2.08</v>
      </c>
      <c r="E196">
        <v>28.2</v>
      </c>
      <c r="F196">
        <v>3.5</v>
      </c>
      <c r="G196">
        <f t="shared" si="3"/>
        <v>26.12</v>
      </c>
      <c r="H196">
        <v>1</v>
      </c>
    </row>
    <row r="197" spans="2:8">
      <c r="B197" s="3">
        <v>45597</v>
      </c>
      <c r="C197" t="s">
        <v>28</v>
      </c>
      <c r="D197">
        <f>VLOOKUP(C197,成本价!$C$2:$D$16,2,0)*H197</f>
        <v>8.88</v>
      </c>
      <c r="E197">
        <v>0</v>
      </c>
      <c r="G197">
        <f t="shared" si="3"/>
        <v>-8.88</v>
      </c>
      <c r="H197">
        <v>4</v>
      </c>
    </row>
    <row r="198" spans="2:8">
      <c r="B198" s="3">
        <v>45597</v>
      </c>
      <c r="C198" t="s">
        <v>12</v>
      </c>
      <c r="D198">
        <f>VLOOKUP(C198,成本价!$C$2:$D$16,2,0)*H198</f>
        <v>3.87</v>
      </c>
      <c r="E198">
        <v>13.6</v>
      </c>
      <c r="F198">
        <v>3.5</v>
      </c>
      <c r="G198">
        <f t="shared" si="3"/>
        <v>9.73</v>
      </c>
      <c r="H198">
        <v>10</v>
      </c>
    </row>
    <row r="199" spans="2:8">
      <c r="B199" s="3">
        <v>45597</v>
      </c>
      <c r="C199" t="s">
        <v>23</v>
      </c>
      <c r="D199">
        <f>VLOOKUP(C199,成本价!$C$2:$D$16,2,0)*H199</f>
        <v>3.12</v>
      </c>
      <c r="E199">
        <v>7.59</v>
      </c>
      <c r="F199">
        <v>3.5</v>
      </c>
      <c r="G199">
        <f t="shared" si="3"/>
        <v>4.47</v>
      </c>
      <c r="H199">
        <v>1.5</v>
      </c>
    </row>
    <row r="200" spans="2:8">
      <c r="B200" s="3">
        <v>45597</v>
      </c>
      <c r="C200" t="s">
        <v>12</v>
      </c>
      <c r="D200">
        <f>VLOOKUP(C200,成本价!$C$2:$D$16,2,0)*H200</f>
        <v>2.709</v>
      </c>
      <c r="E200">
        <v>10.9</v>
      </c>
      <c r="F200">
        <v>3.5</v>
      </c>
      <c r="G200">
        <f t="shared" si="3"/>
        <v>8.191</v>
      </c>
      <c r="H200">
        <v>7</v>
      </c>
    </row>
    <row r="201" spans="2:8">
      <c r="B201" s="3">
        <v>45597</v>
      </c>
      <c r="C201" t="s">
        <v>44</v>
      </c>
      <c r="D201">
        <f>VLOOKUP(C201,成本价!$C$2:$D$16,2,0)*H201</f>
        <v>1.191</v>
      </c>
      <c r="E201">
        <v>0</v>
      </c>
      <c r="G201">
        <f t="shared" si="3"/>
        <v>-1.191</v>
      </c>
      <c r="H201">
        <v>3</v>
      </c>
    </row>
    <row r="202" spans="2:8">
      <c r="B202" s="3">
        <v>45597</v>
      </c>
      <c r="C202" t="s">
        <v>12</v>
      </c>
      <c r="D202">
        <f>VLOOKUP(C202,成本价!$C$2:$D$16,2,0)*H202</f>
        <v>1.548</v>
      </c>
      <c r="E202">
        <v>11.6</v>
      </c>
      <c r="F202">
        <v>3.5</v>
      </c>
      <c r="G202">
        <f t="shared" si="3"/>
        <v>10.052</v>
      </c>
      <c r="H202">
        <v>4</v>
      </c>
    </row>
    <row r="203" spans="2:8">
      <c r="B203" s="3">
        <v>45597</v>
      </c>
      <c r="C203" t="s">
        <v>44</v>
      </c>
      <c r="D203">
        <f>VLOOKUP(C203,成本价!$C$2:$D$16,2,0)*H203</f>
        <v>1.588</v>
      </c>
      <c r="E203">
        <v>0</v>
      </c>
      <c r="G203">
        <f t="shared" si="3"/>
        <v>-1.588</v>
      </c>
      <c r="H203">
        <v>4</v>
      </c>
    </row>
    <row r="204" spans="2:8">
      <c r="B204" s="3">
        <v>45597</v>
      </c>
      <c r="C204" t="s">
        <v>12</v>
      </c>
      <c r="D204">
        <f>VLOOKUP(C204,成本价!$C$2:$D$16,2,0)*H204</f>
        <v>3.87</v>
      </c>
      <c r="E204">
        <v>13.6</v>
      </c>
      <c r="F204">
        <v>3.5</v>
      </c>
      <c r="G204">
        <f t="shared" si="3"/>
        <v>9.73</v>
      </c>
      <c r="H204">
        <v>10</v>
      </c>
    </row>
    <row r="205" spans="2:8">
      <c r="B205" s="3">
        <v>45597</v>
      </c>
      <c r="C205" t="s">
        <v>12</v>
      </c>
      <c r="D205">
        <f>VLOOKUP(C205,成本价!$C$2:$D$16,2,0)*H205</f>
        <v>2.709</v>
      </c>
      <c r="E205">
        <v>10.9</v>
      </c>
      <c r="F205">
        <v>3.5</v>
      </c>
      <c r="G205">
        <f t="shared" si="3"/>
        <v>8.191</v>
      </c>
      <c r="H205">
        <v>7</v>
      </c>
    </row>
    <row r="206" spans="2:8">
      <c r="B206" s="3">
        <v>45597</v>
      </c>
      <c r="C206" t="s">
        <v>44</v>
      </c>
      <c r="D206">
        <f>VLOOKUP(C206,成本价!$C$2:$D$16,2,0)*H206</f>
        <v>1.191</v>
      </c>
      <c r="E206">
        <v>0</v>
      </c>
      <c r="G206">
        <f t="shared" si="3"/>
        <v>-1.191</v>
      </c>
      <c r="H206">
        <v>3</v>
      </c>
    </row>
    <row r="207" spans="2:8">
      <c r="B207" s="3">
        <v>45597</v>
      </c>
      <c r="C207" t="s">
        <v>33</v>
      </c>
      <c r="D207">
        <f>VLOOKUP(C207,成本价!$C$2:$D$16,2,0)*H207</f>
        <v>1.7</v>
      </c>
      <c r="E207">
        <v>23.61</v>
      </c>
      <c r="F207">
        <v>3.5</v>
      </c>
      <c r="G207">
        <f t="shared" si="3"/>
        <v>21.91</v>
      </c>
      <c r="H207">
        <v>1</v>
      </c>
    </row>
    <row r="208" spans="2:8">
      <c r="B208" s="3">
        <v>45597</v>
      </c>
      <c r="C208" t="s">
        <v>27</v>
      </c>
      <c r="D208">
        <f>VLOOKUP(C208,成本价!$C$2:$D$16,2,0)*H208</f>
        <v>7.2</v>
      </c>
      <c r="G208">
        <f t="shared" si="3"/>
        <v>-7.2</v>
      </c>
      <c r="H208">
        <v>4</v>
      </c>
    </row>
    <row r="209" spans="2:8">
      <c r="B209" s="3">
        <v>45597</v>
      </c>
      <c r="C209" t="s">
        <v>23</v>
      </c>
      <c r="D209">
        <f>VLOOKUP(C209,成本价!$C$2:$D$16,2,0)*H209</f>
        <v>6.24</v>
      </c>
      <c r="E209">
        <v>24.38</v>
      </c>
      <c r="F209">
        <v>3.5</v>
      </c>
      <c r="G209">
        <f t="shared" si="3"/>
        <v>18.14</v>
      </c>
      <c r="H209">
        <v>3</v>
      </c>
    </row>
    <row r="210" spans="2:8">
      <c r="B210" s="3">
        <v>45597</v>
      </c>
      <c r="C210" t="s">
        <v>28</v>
      </c>
      <c r="D210">
        <f>VLOOKUP(C210,成本价!$C$2:$D$16,2,0)*H210</f>
        <v>8.88</v>
      </c>
      <c r="G210">
        <f t="shared" si="3"/>
        <v>-8.88</v>
      </c>
      <c r="H210">
        <v>4</v>
      </c>
    </row>
    <row r="211" spans="2:8">
      <c r="B211" s="3">
        <v>45597</v>
      </c>
      <c r="C211" t="s">
        <v>23</v>
      </c>
      <c r="D211">
        <f>VLOOKUP(C211,成本价!$C$2:$D$16,2,0)*H211</f>
        <v>6.24</v>
      </c>
      <c r="E211">
        <v>19.82</v>
      </c>
      <c r="F211">
        <v>3.5</v>
      </c>
      <c r="G211">
        <f t="shared" si="3"/>
        <v>13.58</v>
      </c>
      <c r="H211">
        <v>3</v>
      </c>
    </row>
    <row r="212" spans="2:8">
      <c r="B212" s="3">
        <v>45597</v>
      </c>
      <c r="C212" t="s">
        <v>28</v>
      </c>
      <c r="D212">
        <f>VLOOKUP(C212,成本价!$C$2:$D$16,2,0)*H212</f>
        <v>4.44</v>
      </c>
      <c r="G212">
        <f t="shared" si="3"/>
        <v>-4.44</v>
      </c>
      <c r="H212">
        <v>2</v>
      </c>
    </row>
    <row r="213" spans="2:8">
      <c r="B213" s="3">
        <v>45597</v>
      </c>
      <c r="C213" t="s">
        <v>33</v>
      </c>
      <c r="D213">
        <f>VLOOKUP(C213,成本价!$C$2:$D$16,2,0)*H213</f>
        <v>1.7</v>
      </c>
      <c r="E213">
        <v>14.15</v>
      </c>
      <c r="F213">
        <v>3.5</v>
      </c>
      <c r="G213">
        <f t="shared" si="3"/>
        <v>12.45</v>
      </c>
      <c r="H213">
        <v>1</v>
      </c>
    </row>
    <row r="214" spans="2:8">
      <c r="B214" s="3">
        <v>45597</v>
      </c>
      <c r="C214" t="s">
        <v>27</v>
      </c>
      <c r="D214">
        <f>VLOOKUP(C214,成本价!$C$2:$D$16,2,0)*H214</f>
        <v>3.6</v>
      </c>
      <c r="G214">
        <f t="shared" si="3"/>
        <v>-3.6</v>
      </c>
      <c r="H214">
        <v>2</v>
      </c>
    </row>
    <row r="215" spans="2:8">
      <c r="B215" s="3">
        <v>45597</v>
      </c>
      <c r="C215" t="s">
        <v>36</v>
      </c>
      <c r="D215">
        <f>VLOOKUP(C215,成本价!$C$2:$D$16,2,0)*H215</f>
        <v>6.96</v>
      </c>
      <c r="E215">
        <v>27.1</v>
      </c>
      <c r="F215">
        <v>3.5</v>
      </c>
      <c r="G215">
        <f t="shared" si="3"/>
        <v>20.14</v>
      </c>
      <c r="H215">
        <v>3</v>
      </c>
    </row>
    <row r="216" spans="2:8">
      <c r="B216" s="3">
        <v>45597</v>
      </c>
      <c r="C216" t="s">
        <v>37</v>
      </c>
      <c r="D216">
        <f>VLOOKUP(C216,成本价!$C$2:$D$16,2,0)*H216</f>
        <v>10.16</v>
      </c>
      <c r="G216">
        <f t="shared" si="3"/>
        <v>-10.16</v>
      </c>
      <c r="H216">
        <v>4</v>
      </c>
    </row>
    <row r="217" spans="2:8">
      <c r="B217" s="3">
        <v>45597</v>
      </c>
      <c r="C217" t="s">
        <v>33</v>
      </c>
      <c r="D217">
        <f>VLOOKUP(C217,成本价!$C$2:$D$16,2,0)*H217</f>
        <v>5.1</v>
      </c>
      <c r="E217">
        <v>22.89</v>
      </c>
      <c r="F217">
        <v>3.5</v>
      </c>
      <c r="G217">
        <f t="shared" si="3"/>
        <v>17.79</v>
      </c>
      <c r="H217">
        <v>3</v>
      </c>
    </row>
    <row r="218" spans="2:8">
      <c r="B218" s="3">
        <v>45597</v>
      </c>
      <c r="C218" t="s">
        <v>27</v>
      </c>
      <c r="D218">
        <f>VLOOKUP(C218,成本价!$C$2:$D$16,2,0)*H218</f>
        <v>7.2</v>
      </c>
      <c r="G218">
        <f t="shared" si="3"/>
        <v>-7.2</v>
      </c>
      <c r="H218">
        <v>4</v>
      </c>
    </row>
    <row r="219" spans="2:8">
      <c r="B219" s="3">
        <v>45597</v>
      </c>
      <c r="C219" t="s">
        <v>33</v>
      </c>
      <c r="D219">
        <f>VLOOKUP(C219,成本价!$C$2:$D$16,2,0)*H219</f>
        <v>1.7</v>
      </c>
      <c r="E219">
        <v>6.89</v>
      </c>
      <c r="F219">
        <v>3.5</v>
      </c>
      <c r="G219">
        <f t="shared" si="3"/>
        <v>5.19</v>
      </c>
      <c r="H219">
        <v>1</v>
      </c>
    </row>
    <row r="220" spans="2:8">
      <c r="B220" s="3">
        <v>45597</v>
      </c>
      <c r="C220" t="s">
        <v>36</v>
      </c>
      <c r="D220">
        <f>VLOOKUP(C220,成本价!$C$2:$D$16,2,0)*H220</f>
        <v>2.32</v>
      </c>
      <c r="E220">
        <v>13.98</v>
      </c>
      <c r="F220">
        <v>3.5</v>
      </c>
      <c r="G220">
        <f t="shared" si="3"/>
        <v>11.66</v>
      </c>
      <c r="H220">
        <v>1</v>
      </c>
    </row>
    <row r="221" spans="2:8">
      <c r="B221" s="3">
        <v>45597</v>
      </c>
      <c r="C221" t="s">
        <v>37</v>
      </c>
      <c r="D221">
        <f>VLOOKUP(C221,成本价!$C$2:$D$16,2,0)*H221</f>
        <v>5.08</v>
      </c>
      <c r="G221">
        <f t="shared" si="3"/>
        <v>-5.08</v>
      </c>
      <c r="H221">
        <v>2</v>
      </c>
    </row>
    <row r="222" spans="2:9">
      <c r="B222" s="3">
        <v>45597</v>
      </c>
      <c r="I222">
        <f>96.83-14.82</f>
        <v>82.01</v>
      </c>
    </row>
    <row r="223" spans="2:8">
      <c r="B223" s="29">
        <v>45598</v>
      </c>
      <c r="C223" t="s">
        <v>44</v>
      </c>
      <c r="D223">
        <f>VLOOKUP(C223,成本价!$C$2:$D$16,2,0)*H223</f>
        <v>3.97</v>
      </c>
      <c r="E223">
        <v>10.9</v>
      </c>
      <c r="F223">
        <v>3.5</v>
      </c>
      <c r="G223">
        <f t="shared" si="3"/>
        <v>6.93</v>
      </c>
      <c r="H223">
        <v>10</v>
      </c>
    </row>
    <row r="224" spans="2:8">
      <c r="B224" s="3">
        <v>45598</v>
      </c>
      <c r="C224" t="s">
        <v>33</v>
      </c>
      <c r="D224">
        <f>VLOOKUP(C224,成本价!$C$2:$D$16,2,0)*H224</f>
        <v>2.55</v>
      </c>
      <c r="E224">
        <v>7.9</v>
      </c>
      <c r="F224">
        <v>3.5</v>
      </c>
      <c r="G224">
        <f t="shared" si="3"/>
        <v>5.35</v>
      </c>
      <c r="H224">
        <v>1.5</v>
      </c>
    </row>
    <row r="225" spans="2:8">
      <c r="B225" s="3">
        <v>45598</v>
      </c>
      <c r="C225" t="s">
        <v>33</v>
      </c>
      <c r="D225">
        <f>VLOOKUP(C225,成本价!$C$2:$D$16,2,0)*H225</f>
        <v>1.7</v>
      </c>
      <c r="E225">
        <v>27.9</v>
      </c>
      <c r="F225">
        <v>3.5</v>
      </c>
      <c r="G225">
        <f t="shared" si="3"/>
        <v>26.2</v>
      </c>
      <c r="H225">
        <v>1</v>
      </c>
    </row>
    <row r="226" spans="2:8">
      <c r="B226" s="3">
        <v>45598</v>
      </c>
      <c r="C226" t="s">
        <v>27</v>
      </c>
      <c r="D226">
        <f>VLOOKUP(C226,成本价!$C$2:$D$16,2,0)*H226</f>
        <v>7.2</v>
      </c>
      <c r="E226">
        <v>0</v>
      </c>
      <c r="G226">
        <f t="shared" si="3"/>
        <v>-7.2</v>
      </c>
      <c r="H226">
        <v>4</v>
      </c>
    </row>
    <row r="227" spans="2:8">
      <c r="B227" s="3">
        <v>45598</v>
      </c>
      <c r="C227" t="s">
        <v>12</v>
      </c>
      <c r="D227">
        <f>VLOOKUP(C227,成本价!$C$2:$D$16,2,0)*H227</f>
        <v>1.548</v>
      </c>
      <c r="E227">
        <v>11.44</v>
      </c>
      <c r="F227">
        <v>3.5</v>
      </c>
      <c r="G227">
        <f t="shared" si="3"/>
        <v>9.892</v>
      </c>
      <c r="H227">
        <v>4</v>
      </c>
    </row>
    <row r="228" spans="2:8">
      <c r="B228" s="3">
        <v>45598</v>
      </c>
      <c r="C228" t="s">
        <v>44</v>
      </c>
      <c r="D228">
        <f>VLOOKUP(C228,成本价!$C$2:$D$16,2,0)*H228</f>
        <v>1.588</v>
      </c>
      <c r="E228">
        <v>0</v>
      </c>
      <c r="G228">
        <f t="shared" si="3"/>
        <v>-1.588</v>
      </c>
      <c r="H228">
        <v>4</v>
      </c>
    </row>
    <row r="229" spans="2:8">
      <c r="B229" s="3">
        <v>45598</v>
      </c>
      <c r="C229" t="s">
        <v>33</v>
      </c>
      <c r="D229">
        <f>VLOOKUP(C229,成本价!$C$2:$D$16,2,0)*H229</f>
        <v>3.4</v>
      </c>
      <c r="E229">
        <v>13.8</v>
      </c>
      <c r="F229">
        <v>3.5</v>
      </c>
      <c r="G229">
        <f t="shared" si="3"/>
        <v>10.4</v>
      </c>
      <c r="H229">
        <v>2</v>
      </c>
    </row>
    <row r="230" spans="2:8">
      <c r="B230" s="3">
        <v>45598</v>
      </c>
      <c r="C230" t="s">
        <v>27</v>
      </c>
      <c r="D230">
        <f>VLOOKUP(C230,成本价!$C$2:$D$16,2,0)*H230</f>
        <v>1.8</v>
      </c>
      <c r="E230">
        <v>0</v>
      </c>
      <c r="G230">
        <f t="shared" si="3"/>
        <v>-1.8</v>
      </c>
      <c r="H230">
        <v>1</v>
      </c>
    </row>
    <row r="231" spans="2:8">
      <c r="B231" s="3">
        <v>45598</v>
      </c>
      <c r="C231" t="s">
        <v>28</v>
      </c>
      <c r="D231">
        <f>VLOOKUP(C231,成本价!$C$2:$D$16,2,0)*H231</f>
        <v>2.22</v>
      </c>
      <c r="E231">
        <v>6.32</v>
      </c>
      <c r="G231">
        <f t="shared" si="3"/>
        <v>4.1</v>
      </c>
      <c r="H231">
        <v>1</v>
      </c>
    </row>
    <row r="232" spans="2:8">
      <c r="B232" s="3">
        <v>45598</v>
      </c>
      <c r="C232" t="s">
        <v>23</v>
      </c>
      <c r="D232">
        <f>VLOOKUP(C232,成本价!$C$2:$D$16,2,0)*H232</f>
        <v>2.08</v>
      </c>
      <c r="E232">
        <v>12.05</v>
      </c>
      <c r="G232">
        <f t="shared" si="3"/>
        <v>9.97</v>
      </c>
      <c r="H232">
        <v>1</v>
      </c>
    </row>
    <row r="233" spans="2:8">
      <c r="B233" s="3">
        <v>45598</v>
      </c>
      <c r="C233" t="s">
        <v>28</v>
      </c>
      <c r="D233">
        <f>VLOOKUP(C233,成本价!$C$2:$D$16,2,0)*H233</f>
        <v>4.44</v>
      </c>
      <c r="G233">
        <f t="shared" si="3"/>
        <v>-4.44</v>
      </c>
      <c r="H233">
        <v>2</v>
      </c>
    </row>
    <row r="234" spans="2:8">
      <c r="B234" s="3">
        <v>45598</v>
      </c>
      <c r="C234" t="s">
        <v>23</v>
      </c>
      <c r="D234">
        <f>VLOOKUP(C234,成本价!$C$2:$D$16,2,0)*H234</f>
        <v>2.08</v>
      </c>
      <c r="E234">
        <v>6.32</v>
      </c>
      <c r="G234">
        <f t="shared" si="3"/>
        <v>4.24</v>
      </c>
      <c r="H234">
        <v>1</v>
      </c>
    </row>
    <row r="235" spans="2:8">
      <c r="B235" s="3">
        <v>45598</v>
      </c>
      <c r="C235" t="s">
        <v>23</v>
      </c>
      <c r="D235">
        <f>VLOOKUP(C235,成本价!$C$2:$D$16,2,0)*H235</f>
        <v>2.08</v>
      </c>
      <c r="E235">
        <v>6.32</v>
      </c>
      <c r="G235">
        <f t="shared" si="3"/>
        <v>4.24</v>
      </c>
      <c r="H235">
        <v>1</v>
      </c>
    </row>
    <row r="236" spans="2:8">
      <c r="B236" s="3">
        <v>45598</v>
      </c>
      <c r="C236" t="s">
        <v>40</v>
      </c>
      <c r="D236">
        <f>VLOOKUP(C236,成本价!$C$2:$D$16,2,0)*H236</f>
        <v>5.64</v>
      </c>
      <c r="E236">
        <v>51.98</v>
      </c>
      <c r="G236">
        <f t="shared" si="3"/>
        <v>46.34</v>
      </c>
      <c r="H236">
        <v>3</v>
      </c>
    </row>
    <row r="237" spans="2:8">
      <c r="B237" s="3">
        <v>45598</v>
      </c>
      <c r="C237" t="s">
        <v>43</v>
      </c>
      <c r="D237">
        <f>VLOOKUP(C237,成本价!$C$2:$D$16,2,0)*H237</f>
        <v>8.08</v>
      </c>
      <c r="G237">
        <f t="shared" si="3"/>
        <v>-8.08</v>
      </c>
      <c r="H237">
        <v>4</v>
      </c>
    </row>
    <row r="238" spans="2:8">
      <c r="B238" s="3">
        <v>45598</v>
      </c>
      <c r="C238" t="s">
        <v>33</v>
      </c>
      <c r="D238">
        <f>VLOOKUP(C238,成本价!$C$2:$D$16,2,0)*H238</f>
        <v>5.1</v>
      </c>
      <c r="G238">
        <f t="shared" si="3"/>
        <v>-5.1</v>
      </c>
      <c r="H238">
        <v>3</v>
      </c>
    </row>
    <row r="239" spans="2:8">
      <c r="B239" s="3">
        <v>45598</v>
      </c>
      <c r="C239" t="s">
        <v>27</v>
      </c>
      <c r="D239">
        <f>VLOOKUP(C239,成本价!$C$2:$D$16,2,0)*H239</f>
        <v>7.2</v>
      </c>
      <c r="G239">
        <f t="shared" si="3"/>
        <v>-7.2</v>
      </c>
      <c r="H239">
        <v>4</v>
      </c>
    </row>
    <row r="240" spans="2:9">
      <c r="B240" s="3">
        <v>45598</v>
      </c>
      <c r="I240">
        <f>47.4+14.82</f>
        <v>62.22</v>
      </c>
    </row>
    <row r="241" spans="2:8">
      <c r="B241" s="29">
        <v>45599</v>
      </c>
      <c r="C241" t="s">
        <v>16</v>
      </c>
      <c r="D241">
        <f>VLOOKUP(C241,成本价!$C$2:$D$16,2,0)*H241</f>
        <v>5.4</v>
      </c>
      <c r="E241">
        <v>17.4</v>
      </c>
      <c r="F241">
        <v>3.5</v>
      </c>
      <c r="G241">
        <f t="shared" si="3"/>
        <v>12</v>
      </c>
      <c r="H241">
        <v>2</v>
      </c>
    </row>
    <row r="242" spans="2:8">
      <c r="B242" s="3">
        <v>45599</v>
      </c>
      <c r="C242" t="s">
        <v>20</v>
      </c>
      <c r="D242">
        <f>VLOOKUP(C242,成本价!$C$2:$D$16,2,0)*H242</f>
        <v>3</v>
      </c>
      <c r="E242">
        <v>0</v>
      </c>
      <c r="G242">
        <f t="shared" si="3"/>
        <v>-3</v>
      </c>
      <c r="H242">
        <v>1</v>
      </c>
    </row>
    <row r="243" spans="2:8">
      <c r="B243" s="3">
        <v>45599</v>
      </c>
      <c r="C243" t="s">
        <v>33</v>
      </c>
      <c r="D243">
        <f>VLOOKUP(C243,成本价!$C$2:$D$16,2,0)*H243</f>
        <v>5.1</v>
      </c>
      <c r="E243">
        <v>13.8</v>
      </c>
      <c r="F243">
        <v>3.5</v>
      </c>
      <c r="G243">
        <f t="shared" si="3"/>
        <v>8.7</v>
      </c>
      <c r="H243">
        <v>3</v>
      </c>
    </row>
    <row r="244" spans="2:8">
      <c r="B244" s="3">
        <v>45599</v>
      </c>
      <c r="C244" t="s">
        <v>27</v>
      </c>
      <c r="D244">
        <f>VLOOKUP(C244,成本价!$C$2:$D$16,2,0)*H244</f>
        <v>1.8</v>
      </c>
      <c r="E244">
        <v>5.37</v>
      </c>
      <c r="F244">
        <v>3.5</v>
      </c>
      <c r="G244">
        <f t="shared" si="3"/>
        <v>3.57</v>
      </c>
      <c r="H244">
        <v>1</v>
      </c>
    </row>
    <row r="245" spans="2:8">
      <c r="B245" s="3">
        <v>45599</v>
      </c>
      <c r="C245" t="s">
        <v>33</v>
      </c>
      <c r="D245">
        <f>VLOOKUP(C245,成本价!$C$2:$D$16,2,0)*H245</f>
        <v>1.7</v>
      </c>
      <c r="E245">
        <v>13.8</v>
      </c>
      <c r="F245">
        <v>3.5</v>
      </c>
      <c r="G245">
        <f t="shared" si="3"/>
        <v>12.1</v>
      </c>
      <c r="H245">
        <v>1</v>
      </c>
    </row>
    <row r="246" spans="2:8">
      <c r="B246" s="3">
        <v>45599</v>
      </c>
      <c r="C246" t="s">
        <v>27</v>
      </c>
      <c r="D246">
        <f>VLOOKUP(C246,成本价!$C$2:$D$16,2,0)*H246</f>
        <v>3.6</v>
      </c>
      <c r="E246">
        <v>0</v>
      </c>
      <c r="G246">
        <f t="shared" si="3"/>
        <v>-3.6</v>
      </c>
      <c r="H246">
        <v>2</v>
      </c>
    </row>
    <row r="247" spans="2:8">
      <c r="B247" s="3">
        <v>45599</v>
      </c>
      <c r="C247" t="s">
        <v>33</v>
      </c>
      <c r="D247">
        <f>VLOOKUP(C247,成本价!$C$2:$D$16,2,0)*H247</f>
        <v>1.7</v>
      </c>
      <c r="E247">
        <v>13.8</v>
      </c>
      <c r="F247">
        <v>3.5</v>
      </c>
      <c r="G247">
        <f t="shared" si="3"/>
        <v>12.1</v>
      </c>
      <c r="H247">
        <v>1</v>
      </c>
    </row>
    <row r="248" spans="2:8">
      <c r="B248" s="3">
        <v>45599</v>
      </c>
      <c r="C248" t="s">
        <v>27</v>
      </c>
      <c r="D248">
        <f>VLOOKUP(C248,成本价!$C$2:$D$16,2,0)*H248</f>
        <v>3.6</v>
      </c>
      <c r="E248">
        <v>0</v>
      </c>
      <c r="G248">
        <f t="shared" si="3"/>
        <v>-3.6</v>
      </c>
      <c r="H248">
        <v>2</v>
      </c>
    </row>
    <row r="249" spans="2:8">
      <c r="B249" s="3">
        <v>45599</v>
      </c>
      <c r="C249" t="s">
        <v>40</v>
      </c>
      <c r="D249">
        <f>VLOOKUP(C249,成本价!$C$2:$D$16,2,0)*H249</f>
        <v>1.88</v>
      </c>
      <c r="E249">
        <v>5.9</v>
      </c>
      <c r="F249">
        <v>3.5</v>
      </c>
      <c r="G249">
        <f t="shared" si="3"/>
        <v>4.02</v>
      </c>
      <c r="H249">
        <v>1</v>
      </c>
    </row>
    <row r="250" spans="2:8">
      <c r="B250" s="3">
        <v>45599</v>
      </c>
      <c r="C250" t="s">
        <v>33</v>
      </c>
      <c r="D250">
        <f>VLOOKUP(C250,成本价!$C$2:$D$16,2,0)*H250</f>
        <v>3.4</v>
      </c>
      <c r="E250">
        <v>13.8</v>
      </c>
      <c r="F250">
        <v>3.5</v>
      </c>
      <c r="G250">
        <f t="shared" si="3"/>
        <v>10.4</v>
      </c>
      <c r="H250">
        <v>2</v>
      </c>
    </row>
    <row r="251" spans="2:8">
      <c r="B251" s="3">
        <v>45599</v>
      </c>
      <c r="C251" t="s">
        <v>27</v>
      </c>
      <c r="D251">
        <f>VLOOKUP(C251,成本价!$C$2:$D$16,2,0)*H251</f>
        <v>1.8</v>
      </c>
      <c r="E251">
        <v>0</v>
      </c>
      <c r="G251">
        <f t="shared" si="3"/>
        <v>-1.8</v>
      </c>
      <c r="H251">
        <v>1</v>
      </c>
    </row>
    <row r="252" spans="2:8">
      <c r="B252" s="3">
        <v>45599</v>
      </c>
      <c r="C252" t="s">
        <v>16</v>
      </c>
      <c r="D252">
        <f>VLOOKUP(C252,成本价!$C$2:$D$16,2,0)*H252</f>
        <v>5.4</v>
      </c>
      <c r="E252">
        <v>17.4</v>
      </c>
      <c r="F252">
        <v>3.5</v>
      </c>
      <c r="G252">
        <f t="shared" si="3"/>
        <v>12</v>
      </c>
      <c r="H252">
        <v>2</v>
      </c>
    </row>
    <row r="253" spans="2:8">
      <c r="B253" s="3">
        <v>45599</v>
      </c>
      <c r="C253" t="s">
        <v>20</v>
      </c>
      <c r="D253">
        <f>VLOOKUP(C253,成本价!$C$2:$D$16,2,0)*H253</f>
        <v>3</v>
      </c>
      <c r="E253">
        <v>0</v>
      </c>
      <c r="G253">
        <f t="shared" si="3"/>
        <v>-3</v>
      </c>
      <c r="H253">
        <v>1</v>
      </c>
    </row>
    <row r="254" spans="2:8">
      <c r="B254" s="3">
        <v>45599</v>
      </c>
      <c r="C254" t="s">
        <v>33</v>
      </c>
      <c r="D254">
        <f>VLOOKUP(C254,成本价!$C$2:$D$16,2,0)*H254</f>
        <v>1.7</v>
      </c>
      <c r="E254">
        <v>27.8</v>
      </c>
      <c r="F254">
        <v>3.5</v>
      </c>
      <c r="G254">
        <f t="shared" si="3"/>
        <v>26.1</v>
      </c>
      <c r="H254">
        <v>1</v>
      </c>
    </row>
    <row r="255" spans="2:8">
      <c r="B255" s="3">
        <v>45599</v>
      </c>
      <c r="C255" t="s">
        <v>27</v>
      </c>
      <c r="D255">
        <f>VLOOKUP(C255,成本价!$C$2:$D$16,2,0)*H255</f>
        <v>7.2</v>
      </c>
      <c r="E255">
        <v>0</v>
      </c>
      <c r="G255">
        <f t="shared" si="3"/>
        <v>-7.2</v>
      </c>
      <c r="H255">
        <v>4</v>
      </c>
    </row>
    <row r="256" spans="2:8">
      <c r="B256" s="3">
        <v>45599</v>
      </c>
      <c r="C256" t="s">
        <v>33</v>
      </c>
      <c r="D256">
        <f>VLOOKUP(C256,成本价!$C$2:$D$16,2,0)*H256</f>
        <v>5.1</v>
      </c>
      <c r="E256">
        <v>13.8</v>
      </c>
      <c r="F256">
        <v>3.5</v>
      </c>
      <c r="G256">
        <f t="shared" si="3"/>
        <v>8.7</v>
      </c>
      <c r="H256">
        <v>3</v>
      </c>
    </row>
    <row r="257" spans="2:8">
      <c r="B257" s="3">
        <v>45599</v>
      </c>
      <c r="C257" t="s">
        <v>23</v>
      </c>
      <c r="D257">
        <f>VLOOKUP(C257,成本价!$C$2:$D$16,2,0)*H257</f>
        <v>4.16</v>
      </c>
      <c r="E257">
        <v>16.6</v>
      </c>
      <c r="F257">
        <v>3.5</v>
      </c>
      <c r="G257">
        <f t="shared" si="3"/>
        <v>12.44</v>
      </c>
      <c r="H257">
        <v>2</v>
      </c>
    </row>
    <row r="258" spans="2:8">
      <c r="B258" s="3">
        <v>45599</v>
      </c>
      <c r="C258" t="s">
        <v>28</v>
      </c>
      <c r="D258">
        <f>VLOOKUP(C258,成本价!$C$2:$D$16,2,0)*H258</f>
        <v>2.22</v>
      </c>
      <c r="E258">
        <v>0</v>
      </c>
      <c r="G258">
        <f t="shared" si="3"/>
        <v>-2.22</v>
      </c>
      <c r="H258">
        <v>1</v>
      </c>
    </row>
    <row r="259" spans="2:8">
      <c r="B259" s="3">
        <v>45599</v>
      </c>
      <c r="C259" t="s">
        <v>23</v>
      </c>
      <c r="D259">
        <f>VLOOKUP(C259,成本价!$C$2:$D$16,2,0)*H259</f>
        <v>4.16</v>
      </c>
      <c r="E259">
        <v>16.6</v>
      </c>
      <c r="F259">
        <v>3.5</v>
      </c>
      <c r="G259">
        <f t="shared" si="3"/>
        <v>12.44</v>
      </c>
      <c r="H259">
        <v>2</v>
      </c>
    </row>
    <row r="260" spans="2:8">
      <c r="B260" s="3">
        <v>45599</v>
      </c>
      <c r="C260" t="s">
        <v>28</v>
      </c>
      <c r="D260">
        <f>VLOOKUP(C260,成本价!$C$2:$D$16,2,0)*H260</f>
        <v>2.22</v>
      </c>
      <c r="E260">
        <v>0</v>
      </c>
      <c r="G260">
        <f t="shared" si="3"/>
        <v>-2.22</v>
      </c>
      <c r="H260">
        <v>1</v>
      </c>
    </row>
    <row r="261" spans="2:8">
      <c r="B261" s="3">
        <v>45599</v>
      </c>
      <c r="C261" t="s">
        <v>33</v>
      </c>
      <c r="D261">
        <f>VLOOKUP(C261,成本价!$C$2:$D$16,2,0)*H261</f>
        <v>5.1</v>
      </c>
      <c r="E261">
        <v>38.7</v>
      </c>
      <c r="F261">
        <v>3.5</v>
      </c>
      <c r="G261">
        <f t="shared" si="3"/>
        <v>33.6</v>
      </c>
      <c r="H261">
        <v>3</v>
      </c>
    </row>
    <row r="262" spans="2:8">
      <c r="B262" s="3">
        <v>45599</v>
      </c>
      <c r="C262" t="s">
        <v>27</v>
      </c>
      <c r="D262">
        <f>VLOOKUP(C262,成本价!$C$2:$D$16,2,0)*H262</f>
        <v>7.2</v>
      </c>
      <c r="E262">
        <v>0</v>
      </c>
      <c r="G262">
        <f t="shared" si="3"/>
        <v>-7.2</v>
      </c>
      <c r="H262">
        <v>4</v>
      </c>
    </row>
    <row r="263" spans="2:8">
      <c r="B263" s="3">
        <v>45599</v>
      </c>
      <c r="C263" t="s">
        <v>16</v>
      </c>
      <c r="D263">
        <f>VLOOKUP(C263,成本价!$C$2:$D$16,2,0)*H263</f>
        <v>8.1</v>
      </c>
      <c r="E263">
        <v>17.4</v>
      </c>
      <c r="F263">
        <v>3.5</v>
      </c>
      <c r="G263">
        <f t="shared" si="3"/>
        <v>9.3</v>
      </c>
      <c r="H263">
        <v>3</v>
      </c>
    </row>
    <row r="264" spans="2:8">
      <c r="B264" s="3">
        <v>45599</v>
      </c>
      <c r="C264" t="s">
        <v>12</v>
      </c>
      <c r="D264">
        <f>VLOOKUP(C264,成本价!$C$2:$D$16,2,0)*H264</f>
        <v>1.548</v>
      </c>
      <c r="E264">
        <v>8.79</v>
      </c>
      <c r="F264">
        <v>3.5</v>
      </c>
      <c r="G264">
        <f t="shared" si="3"/>
        <v>7.242</v>
      </c>
      <c r="H264">
        <v>4</v>
      </c>
    </row>
    <row r="265" spans="2:8">
      <c r="B265" s="3">
        <v>45599</v>
      </c>
      <c r="C265" t="s">
        <v>33</v>
      </c>
      <c r="D265">
        <f>VLOOKUP(C265,成本价!$C$2:$D$16,2,0)*H265</f>
        <v>3.4</v>
      </c>
      <c r="E265">
        <v>13.8</v>
      </c>
      <c r="F265">
        <v>3.5</v>
      </c>
      <c r="G265">
        <f t="shared" si="3"/>
        <v>10.4</v>
      </c>
      <c r="H265">
        <v>2</v>
      </c>
    </row>
    <row r="266" spans="2:8">
      <c r="B266" s="3">
        <v>45599</v>
      </c>
      <c r="C266" t="s">
        <v>27</v>
      </c>
      <c r="D266">
        <f>VLOOKUP(C266,成本价!$C$2:$D$16,2,0)*H266</f>
        <v>1.8</v>
      </c>
      <c r="E266">
        <v>0</v>
      </c>
      <c r="G266">
        <f t="shared" si="3"/>
        <v>-1.8</v>
      </c>
      <c r="H266">
        <v>1</v>
      </c>
    </row>
    <row r="267" spans="2:8">
      <c r="B267" s="3">
        <v>45599</v>
      </c>
      <c r="C267" t="s">
        <v>27</v>
      </c>
      <c r="D267">
        <f>VLOOKUP(C267,成本价!$C$2:$D$16,2,0)*H267</f>
        <v>1.8</v>
      </c>
      <c r="E267">
        <v>6.37</v>
      </c>
      <c r="F267">
        <v>3.5</v>
      </c>
      <c r="G267">
        <f t="shared" si="3"/>
        <v>4.57</v>
      </c>
      <c r="H267">
        <v>1</v>
      </c>
    </row>
    <row r="268" spans="2:8">
      <c r="B268" s="3">
        <v>45599</v>
      </c>
      <c r="C268" t="s">
        <v>27</v>
      </c>
      <c r="D268">
        <f>VLOOKUP(C268,成本价!$C$2:$D$16,2,0)*H268</f>
        <v>5.4</v>
      </c>
      <c r="E268">
        <v>13.8</v>
      </c>
      <c r="F268">
        <v>3.5</v>
      </c>
      <c r="G268">
        <f t="shared" si="3"/>
        <v>8.4</v>
      </c>
      <c r="H268">
        <v>3</v>
      </c>
    </row>
    <row r="269" spans="2:8">
      <c r="B269" s="3">
        <v>45599</v>
      </c>
      <c r="C269" t="s">
        <v>43</v>
      </c>
      <c r="D269">
        <f>VLOOKUP(C269,成本价!$C$2:$D$16,2,0)*H269</f>
        <v>2.02</v>
      </c>
      <c r="E269">
        <v>7.52</v>
      </c>
      <c r="F269">
        <v>3.5</v>
      </c>
      <c r="G269">
        <f t="shared" si="3"/>
        <v>5.5</v>
      </c>
      <c r="H269">
        <v>1</v>
      </c>
    </row>
    <row r="270" spans="2:8">
      <c r="B270" s="3">
        <v>45599</v>
      </c>
      <c r="C270" t="s">
        <v>46</v>
      </c>
      <c r="D270">
        <f>VLOOKUP(C270,成本价!$C$2:$D$16,2,0)*H270</f>
        <v>2.7</v>
      </c>
      <c r="E270">
        <v>18.6</v>
      </c>
      <c r="F270">
        <v>3.5</v>
      </c>
      <c r="G270">
        <f t="shared" si="3"/>
        <v>15.9</v>
      </c>
      <c r="H270">
        <v>1</v>
      </c>
    </row>
    <row r="271" spans="2:8">
      <c r="B271" s="3">
        <v>45599</v>
      </c>
      <c r="C271" t="s">
        <v>45</v>
      </c>
      <c r="D271">
        <f>VLOOKUP(C271,成本价!$C$2:$D$16,2,0)*H271</f>
        <v>4.8</v>
      </c>
      <c r="E271">
        <v>0</v>
      </c>
      <c r="G271">
        <f t="shared" si="3"/>
        <v>-4.8</v>
      </c>
      <c r="H271">
        <v>2</v>
      </c>
    </row>
    <row r="272" spans="2:8">
      <c r="B272" s="3">
        <v>45599</v>
      </c>
      <c r="C272" t="s">
        <v>23</v>
      </c>
      <c r="D272">
        <f>VLOOKUP(C272,成本价!$C$2:$D$16,2,0)*H272</f>
        <v>4.16</v>
      </c>
      <c r="E272">
        <v>15.03</v>
      </c>
      <c r="F272">
        <v>3.5</v>
      </c>
      <c r="G272">
        <f t="shared" si="3"/>
        <v>10.87</v>
      </c>
      <c r="H272">
        <v>2</v>
      </c>
    </row>
    <row r="273" spans="2:8">
      <c r="B273" s="3">
        <v>45599</v>
      </c>
      <c r="C273" t="s">
        <v>28</v>
      </c>
      <c r="D273">
        <f>VLOOKUP(C273,成本价!$C$2:$D$16,2,0)*H273</f>
        <v>2.22</v>
      </c>
      <c r="G273">
        <f t="shared" si="3"/>
        <v>-2.22</v>
      </c>
      <c r="H273">
        <v>1</v>
      </c>
    </row>
    <row r="274" spans="2:17">
      <c r="B274" s="3">
        <v>45599</v>
      </c>
      <c r="C274" t="s">
        <v>23</v>
      </c>
      <c r="D274">
        <f>VLOOKUP(C274,成本价!$C$2:$D$16,2,0)*H274</f>
        <v>2.08</v>
      </c>
      <c r="E274">
        <v>6.51</v>
      </c>
      <c r="F274">
        <v>3.5</v>
      </c>
      <c r="G274">
        <f t="shared" si="3"/>
        <v>4.43</v>
      </c>
      <c r="H274">
        <v>1</v>
      </c>
      <c r="Q274" s="2"/>
    </row>
    <row r="275" spans="2:17">
      <c r="B275" s="3">
        <v>45599</v>
      </c>
      <c r="C275" t="s">
        <v>16</v>
      </c>
      <c r="D275">
        <f>VLOOKUP(C275,成本价!$C$2:$D$16,2,0)*H275</f>
        <v>8.1</v>
      </c>
      <c r="E275">
        <v>30.5</v>
      </c>
      <c r="F275">
        <v>3.5</v>
      </c>
      <c r="G275">
        <f t="shared" si="3"/>
        <v>22.4</v>
      </c>
      <c r="H275">
        <v>3</v>
      </c>
      <c r="K275" s="2"/>
      <c r="Q275" s="2"/>
    </row>
    <row r="276" spans="2:17">
      <c r="B276" s="3">
        <v>45599</v>
      </c>
      <c r="C276" t="s">
        <v>20</v>
      </c>
      <c r="D276">
        <f>VLOOKUP(C276,成本价!$C$2:$D$16,2,0)*H276</f>
        <v>12</v>
      </c>
      <c r="G276">
        <f t="shared" si="3"/>
        <v>-12</v>
      </c>
      <c r="H276">
        <v>4</v>
      </c>
      <c r="K276" s="2"/>
      <c r="Q276" s="2"/>
    </row>
    <row r="277" spans="2:8">
      <c r="B277" s="3">
        <v>45599</v>
      </c>
      <c r="C277" t="s">
        <v>36</v>
      </c>
      <c r="D277">
        <f>VLOOKUP(C277,成本价!$C$2:$D$16,2,0)*H277</f>
        <v>6.96</v>
      </c>
      <c r="E277">
        <v>26.71</v>
      </c>
      <c r="F277">
        <v>3.5</v>
      </c>
      <c r="G277">
        <f t="shared" si="3"/>
        <v>19.75</v>
      </c>
      <c r="H277">
        <v>3</v>
      </c>
    </row>
    <row r="278" spans="2:17">
      <c r="B278" s="3">
        <v>45599</v>
      </c>
      <c r="C278" t="s">
        <v>37</v>
      </c>
      <c r="D278">
        <f>VLOOKUP(C278,成本价!$C$2:$D$16,2,0)*H278</f>
        <v>5.08</v>
      </c>
      <c r="G278">
        <f t="shared" si="3"/>
        <v>-5.08</v>
      </c>
      <c r="H278">
        <v>2</v>
      </c>
      <c r="Q278" s="2"/>
    </row>
    <row r="279" spans="2:8">
      <c r="B279" s="3">
        <v>45599</v>
      </c>
      <c r="C279" t="s">
        <v>12</v>
      </c>
      <c r="D279">
        <f>VLOOKUP(C279,成本价!$C$2:$D$16,2,0)*H279</f>
        <v>2.709</v>
      </c>
      <c r="E279">
        <v>11.98</v>
      </c>
      <c r="F279">
        <v>3.5</v>
      </c>
      <c r="G279">
        <f t="shared" si="3"/>
        <v>9.271</v>
      </c>
      <c r="H279">
        <v>7</v>
      </c>
    </row>
    <row r="280" spans="2:8">
      <c r="B280" s="3">
        <v>45599</v>
      </c>
      <c r="C280" t="s">
        <v>44</v>
      </c>
      <c r="D280">
        <f>VLOOKUP(C280,成本价!$C$2:$D$16,2,0)*H280</f>
        <v>1.191</v>
      </c>
      <c r="G280">
        <f t="shared" si="3"/>
        <v>-1.191</v>
      </c>
      <c r="H280">
        <v>3</v>
      </c>
    </row>
    <row r="281" spans="2:8">
      <c r="B281" s="3">
        <v>45599</v>
      </c>
      <c r="C281" t="s">
        <v>23</v>
      </c>
      <c r="D281">
        <f>VLOOKUP(C281,成本价!$C$2:$D$16,2,0)*H281</f>
        <v>6.24</v>
      </c>
      <c r="E281">
        <v>20.76</v>
      </c>
      <c r="F281">
        <v>3.5</v>
      </c>
      <c r="G281">
        <f t="shared" si="3"/>
        <v>14.52</v>
      </c>
      <c r="H281">
        <v>3</v>
      </c>
    </row>
    <row r="282" spans="2:14">
      <c r="B282" s="3">
        <v>45599</v>
      </c>
      <c r="C282" t="s">
        <v>28</v>
      </c>
      <c r="D282">
        <f>VLOOKUP(C282,成本价!$C$2:$D$16,2,0)*H282</f>
        <v>4.44</v>
      </c>
      <c r="G282">
        <f t="shared" si="3"/>
        <v>-4.44</v>
      </c>
      <c r="H282">
        <v>2</v>
      </c>
      <c r="N282" s="2"/>
    </row>
    <row r="283" spans="2:12">
      <c r="B283" s="3">
        <v>45599</v>
      </c>
      <c r="C283" t="s">
        <v>23</v>
      </c>
      <c r="D283">
        <f>VLOOKUP(C283,成本价!$C$2:$D$16,2,0)*H283</f>
        <v>2.08</v>
      </c>
      <c r="E283">
        <v>6.32</v>
      </c>
      <c r="F283">
        <v>3.5</v>
      </c>
      <c r="G283">
        <f t="shared" si="3"/>
        <v>4.24</v>
      </c>
      <c r="H283">
        <v>1</v>
      </c>
      <c r="K283" s="2"/>
      <c r="L283" s="2"/>
    </row>
    <row r="284" spans="2:11">
      <c r="B284" s="3">
        <v>45599</v>
      </c>
      <c r="C284" t="s">
        <v>45</v>
      </c>
      <c r="D284">
        <f>VLOOKUP(C284,成本价!$C$2:$D$16,2,0)*H284</f>
        <v>4.8</v>
      </c>
      <c r="E284">
        <v>17.9</v>
      </c>
      <c r="F284">
        <v>3.5</v>
      </c>
      <c r="G284">
        <f t="shared" si="3"/>
        <v>13.1</v>
      </c>
      <c r="H284">
        <v>2</v>
      </c>
      <c r="K284" s="41"/>
    </row>
    <row r="285" spans="2:8">
      <c r="B285" s="3">
        <v>45599</v>
      </c>
      <c r="C285" t="s">
        <v>46</v>
      </c>
      <c r="D285">
        <f>VLOOKUP(C285,成本价!$C$2:$D$16,2,0)*H285</f>
        <v>2.7</v>
      </c>
      <c r="G285">
        <f t="shared" si="3"/>
        <v>-2.7</v>
      </c>
      <c r="H285">
        <v>1</v>
      </c>
    </row>
    <row r="286" spans="2:12">
      <c r="B286" s="3">
        <v>45599</v>
      </c>
      <c r="I286">
        <f>134.77-3.48</f>
        <v>131.29</v>
      </c>
      <c r="L286" s="2"/>
    </row>
    <row r="287" spans="1:8">
      <c r="A287" s="2" t="s">
        <v>48</v>
      </c>
      <c r="B287" s="29">
        <v>45600</v>
      </c>
      <c r="C287" t="s">
        <v>12</v>
      </c>
      <c r="D287">
        <f>VLOOKUP(C287,成本价!$C$2:$D$16,2,0)*H287</f>
        <v>2.709</v>
      </c>
      <c r="E287">
        <v>13.4</v>
      </c>
      <c r="F287">
        <v>3.5</v>
      </c>
      <c r="G287">
        <f t="shared" si="3"/>
        <v>10.691</v>
      </c>
      <c r="H287">
        <v>7</v>
      </c>
    </row>
    <row r="288" spans="2:8">
      <c r="B288" s="3">
        <v>45600</v>
      </c>
      <c r="C288" t="s">
        <v>44</v>
      </c>
      <c r="D288">
        <f>VLOOKUP(C288,成本价!$C$2:$D$16,2,0)*H288</f>
        <v>1.191</v>
      </c>
      <c r="E288">
        <v>0</v>
      </c>
      <c r="G288">
        <f t="shared" si="3"/>
        <v>-1.191</v>
      </c>
      <c r="H288">
        <v>3</v>
      </c>
    </row>
    <row r="289" spans="2:8">
      <c r="B289" s="3">
        <v>45600</v>
      </c>
      <c r="C289" t="s">
        <v>12</v>
      </c>
      <c r="D289">
        <f>VLOOKUP(C289,成本价!$C$2:$D$16,2,0)*H289</f>
        <v>0.774</v>
      </c>
      <c r="E289">
        <v>8.79</v>
      </c>
      <c r="F289">
        <v>3.5</v>
      </c>
      <c r="G289">
        <f t="shared" si="3"/>
        <v>8.016</v>
      </c>
      <c r="H289">
        <v>2</v>
      </c>
    </row>
    <row r="290" spans="2:8">
      <c r="B290" s="3">
        <v>45600</v>
      </c>
      <c r="C290" t="s">
        <v>44</v>
      </c>
      <c r="D290">
        <f>VLOOKUP(C290,成本价!$C$2:$D$16,2,0)*H290</f>
        <v>0.397</v>
      </c>
      <c r="E290">
        <v>0</v>
      </c>
      <c r="G290">
        <f t="shared" si="3"/>
        <v>-0.397</v>
      </c>
      <c r="H290">
        <v>1</v>
      </c>
    </row>
    <row r="291" spans="2:8">
      <c r="B291" s="3">
        <v>45600</v>
      </c>
      <c r="C291" t="s">
        <v>12</v>
      </c>
      <c r="D291">
        <f>VLOOKUP(C291,成本价!$C$2:$D$16,2,0)*H291</f>
        <v>2.709</v>
      </c>
      <c r="E291">
        <v>10.39</v>
      </c>
      <c r="F291">
        <v>3.5</v>
      </c>
      <c r="G291">
        <f t="shared" si="3"/>
        <v>7.681</v>
      </c>
      <c r="H291">
        <v>7</v>
      </c>
    </row>
    <row r="292" spans="2:8">
      <c r="B292" s="3">
        <v>45600</v>
      </c>
      <c r="C292" t="s">
        <v>44</v>
      </c>
      <c r="D292">
        <f>VLOOKUP(C292,成本价!$C$2:$D$16,2,0)*H292</f>
        <v>0.397</v>
      </c>
      <c r="E292">
        <v>0</v>
      </c>
      <c r="G292">
        <f t="shared" ref="G292:G381" si="4">E292-D292</f>
        <v>-0.397</v>
      </c>
      <c r="H292">
        <v>1</v>
      </c>
    </row>
    <row r="293" spans="2:8">
      <c r="B293" s="3">
        <v>45600</v>
      </c>
      <c r="C293" t="s">
        <v>12</v>
      </c>
      <c r="D293">
        <f>VLOOKUP(C293,成本价!$C$2:$D$16,2,0)*H293</f>
        <v>2.709</v>
      </c>
      <c r="E293">
        <v>13.4</v>
      </c>
      <c r="F293">
        <v>3.5</v>
      </c>
      <c r="G293">
        <f t="shared" si="4"/>
        <v>10.691</v>
      </c>
      <c r="H293">
        <v>7</v>
      </c>
    </row>
    <row r="294" spans="2:8">
      <c r="B294" s="3">
        <v>45600</v>
      </c>
      <c r="C294" t="s">
        <v>44</v>
      </c>
      <c r="D294">
        <f>VLOOKUP(C294,成本价!$C$2:$D$16,2,0)*H294</f>
        <v>1.191</v>
      </c>
      <c r="E294">
        <v>0</v>
      </c>
      <c r="G294">
        <f t="shared" si="4"/>
        <v>-1.191</v>
      </c>
      <c r="H294">
        <v>3</v>
      </c>
    </row>
    <row r="295" spans="2:8">
      <c r="B295" s="3">
        <v>45600</v>
      </c>
      <c r="C295" t="s">
        <v>33</v>
      </c>
      <c r="D295">
        <f>VLOOKUP(C295,成本价!$C$2:$D$16,2,0)*H295</f>
        <v>3.4</v>
      </c>
      <c r="E295">
        <v>13.8</v>
      </c>
      <c r="F295">
        <v>3.5</v>
      </c>
      <c r="G295">
        <f t="shared" si="4"/>
        <v>10.4</v>
      </c>
      <c r="H295">
        <v>2</v>
      </c>
    </row>
    <row r="296" spans="2:8">
      <c r="B296" s="3">
        <v>45600</v>
      </c>
      <c r="C296" t="s">
        <v>27</v>
      </c>
      <c r="D296">
        <f>VLOOKUP(C296,成本价!$C$2:$D$16,2,0)*H296</f>
        <v>1.8</v>
      </c>
      <c r="E296">
        <v>0</v>
      </c>
      <c r="G296">
        <f t="shared" si="4"/>
        <v>-1.8</v>
      </c>
      <c r="H296">
        <v>1</v>
      </c>
    </row>
    <row r="297" spans="2:8">
      <c r="B297" s="3">
        <v>45600</v>
      </c>
      <c r="C297" t="s">
        <v>33</v>
      </c>
      <c r="D297">
        <f>VLOOKUP(C297,成本价!$C$2:$D$16,2,0)*H297</f>
        <v>3.4</v>
      </c>
      <c r="E297">
        <v>13.8</v>
      </c>
      <c r="F297">
        <v>3.5</v>
      </c>
      <c r="G297">
        <f t="shared" si="4"/>
        <v>10.4</v>
      </c>
      <c r="H297">
        <v>2</v>
      </c>
    </row>
    <row r="298" spans="2:8">
      <c r="B298" s="3">
        <v>45600</v>
      </c>
      <c r="C298" t="s">
        <v>27</v>
      </c>
      <c r="D298">
        <f>VLOOKUP(C298,成本价!$C$2:$D$16,2,0)*H298</f>
        <v>1.8</v>
      </c>
      <c r="E298">
        <v>0</v>
      </c>
      <c r="G298">
        <f t="shared" si="4"/>
        <v>-1.8</v>
      </c>
      <c r="H298">
        <v>1</v>
      </c>
    </row>
    <row r="299" spans="2:8">
      <c r="B299" s="3">
        <v>45600</v>
      </c>
      <c r="C299" t="s">
        <v>33</v>
      </c>
      <c r="D299">
        <f>VLOOKUP(C299,成本价!$C$2:$D$16,2,0)*H299</f>
        <v>3.4</v>
      </c>
      <c r="E299">
        <v>13.8</v>
      </c>
      <c r="F299">
        <v>3.5</v>
      </c>
      <c r="G299">
        <f t="shared" si="4"/>
        <v>10.4</v>
      </c>
      <c r="H299">
        <v>2</v>
      </c>
    </row>
    <row r="300" spans="2:8">
      <c r="B300" s="3">
        <v>45600</v>
      </c>
      <c r="C300" t="s">
        <v>27</v>
      </c>
      <c r="D300">
        <f>VLOOKUP(C300,成本价!$C$2:$D$16,2,0)*H300</f>
        <v>1.8</v>
      </c>
      <c r="E300">
        <v>0</v>
      </c>
      <c r="G300">
        <f t="shared" si="4"/>
        <v>-1.8</v>
      </c>
      <c r="H300">
        <v>1</v>
      </c>
    </row>
    <row r="301" spans="2:8">
      <c r="B301" s="3">
        <v>45600</v>
      </c>
      <c r="C301" t="s">
        <v>12</v>
      </c>
      <c r="D301">
        <f>VLOOKUP(C301,成本价!$C$2:$D$16,2,0)*H301</f>
        <v>2.709</v>
      </c>
      <c r="E301">
        <v>13.4</v>
      </c>
      <c r="F301">
        <v>3.5</v>
      </c>
      <c r="G301">
        <f t="shared" si="4"/>
        <v>10.691</v>
      </c>
      <c r="H301">
        <v>7</v>
      </c>
    </row>
    <row r="302" spans="2:8">
      <c r="B302" s="3">
        <v>45600</v>
      </c>
      <c r="C302" t="s">
        <v>44</v>
      </c>
      <c r="D302">
        <f>VLOOKUP(C302,成本价!$C$2:$D$16,2,0)*H302</f>
        <v>1.191</v>
      </c>
      <c r="E302">
        <v>0</v>
      </c>
      <c r="G302">
        <f t="shared" si="4"/>
        <v>-1.191</v>
      </c>
      <c r="H302">
        <v>3</v>
      </c>
    </row>
    <row r="303" spans="2:8">
      <c r="B303" s="3">
        <v>45600</v>
      </c>
      <c r="C303" t="s">
        <v>33</v>
      </c>
      <c r="D303">
        <f>VLOOKUP(C303,成本价!$C$2:$D$16,2,0)*H303</f>
        <v>1.7</v>
      </c>
      <c r="E303">
        <v>6.37</v>
      </c>
      <c r="F303">
        <v>3.5</v>
      </c>
      <c r="G303">
        <f t="shared" si="4"/>
        <v>4.67</v>
      </c>
      <c r="H303">
        <v>1</v>
      </c>
    </row>
    <row r="304" spans="2:8">
      <c r="B304" s="3">
        <v>45600</v>
      </c>
      <c r="C304" t="s">
        <v>27</v>
      </c>
      <c r="D304">
        <f>VLOOKUP(C304,成本价!$C$2:$D$16,2,0)*H304</f>
        <v>1.8</v>
      </c>
      <c r="E304">
        <v>6.37</v>
      </c>
      <c r="F304">
        <v>3.5</v>
      </c>
      <c r="G304">
        <f t="shared" si="4"/>
        <v>4.57</v>
      </c>
      <c r="H304">
        <v>1</v>
      </c>
    </row>
    <row r="305" spans="2:8">
      <c r="B305" s="3">
        <v>45600</v>
      </c>
      <c r="C305" t="s">
        <v>40</v>
      </c>
      <c r="D305">
        <f>VLOOKUP(C305,成本价!$C$2:$D$16,2,0)*H305</f>
        <v>5.64</v>
      </c>
      <c r="E305">
        <v>29.1</v>
      </c>
      <c r="F305">
        <v>3.5</v>
      </c>
      <c r="G305">
        <f t="shared" si="4"/>
        <v>23.46</v>
      </c>
      <c r="H305">
        <v>3</v>
      </c>
    </row>
    <row r="306" spans="2:8">
      <c r="B306" s="3">
        <v>45600</v>
      </c>
      <c r="C306" t="s">
        <v>43</v>
      </c>
      <c r="D306">
        <f>VLOOKUP(C306,成本价!$C$2:$D$16,2,0)*H306</f>
        <v>4.04</v>
      </c>
      <c r="E306">
        <v>0</v>
      </c>
      <c r="G306">
        <f t="shared" si="4"/>
        <v>-4.04</v>
      </c>
      <c r="H306">
        <v>2</v>
      </c>
    </row>
    <row r="307" spans="2:8">
      <c r="B307" s="3">
        <v>45600</v>
      </c>
      <c r="C307" t="s">
        <v>33</v>
      </c>
      <c r="D307">
        <f>VLOOKUP(C307,成本价!$C$2:$D$16,2,0)*H307</f>
        <v>5.1</v>
      </c>
      <c r="E307">
        <v>13.8</v>
      </c>
      <c r="F307">
        <v>3.5</v>
      </c>
      <c r="G307">
        <f t="shared" si="4"/>
        <v>8.7</v>
      </c>
      <c r="H307">
        <v>3</v>
      </c>
    </row>
    <row r="308" spans="2:8">
      <c r="B308" s="3">
        <v>45600</v>
      </c>
      <c r="C308" t="s">
        <v>23</v>
      </c>
      <c r="D308">
        <f>VLOOKUP(C308,成本价!$C$2:$D$16,2,0)*H308</f>
        <v>2.08</v>
      </c>
      <c r="E308">
        <v>7.33</v>
      </c>
      <c r="F308">
        <v>3.5</v>
      </c>
      <c r="G308">
        <f t="shared" si="4"/>
        <v>5.25</v>
      </c>
      <c r="H308">
        <v>1</v>
      </c>
    </row>
    <row r="309" spans="2:8">
      <c r="B309" s="3">
        <v>45600</v>
      </c>
      <c r="C309" t="s">
        <v>12</v>
      </c>
      <c r="D309">
        <f>VLOOKUP(C309,成本价!$C$2:$D$16,2,0)*H309</f>
        <v>1.548</v>
      </c>
      <c r="E309">
        <v>11.44</v>
      </c>
      <c r="F309">
        <v>3.5</v>
      </c>
      <c r="G309">
        <f t="shared" si="4"/>
        <v>9.892</v>
      </c>
      <c r="H309">
        <v>4</v>
      </c>
    </row>
    <row r="310" spans="2:8">
      <c r="B310" s="3">
        <v>45600</v>
      </c>
      <c r="C310" t="s">
        <v>44</v>
      </c>
      <c r="D310">
        <f>VLOOKUP(C310,成本价!$C$2:$D$16,2,0)*H310</f>
        <v>1.588</v>
      </c>
      <c r="E310">
        <v>0</v>
      </c>
      <c r="G310">
        <f t="shared" si="4"/>
        <v>-1.588</v>
      </c>
      <c r="H310">
        <v>4</v>
      </c>
    </row>
    <row r="311" spans="2:8">
      <c r="B311" s="3">
        <v>45600</v>
      </c>
      <c r="C311" t="s">
        <v>16</v>
      </c>
      <c r="D311">
        <f>VLOOKUP(C311,成本价!$C$2:$D$16,2,0)*H311</f>
        <v>2.7</v>
      </c>
      <c r="E311">
        <v>24.4</v>
      </c>
      <c r="F311">
        <v>3.5</v>
      </c>
      <c r="G311">
        <f t="shared" si="4"/>
        <v>21.7</v>
      </c>
      <c r="H311">
        <v>1</v>
      </c>
    </row>
    <row r="312" spans="2:8">
      <c r="B312" s="3">
        <v>45600</v>
      </c>
      <c r="C312" t="s">
        <v>20</v>
      </c>
      <c r="D312">
        <f>VLOOKUP(C312,成本价!$C$2:$D$16,2,0)*H312</f>
        <v>12</v>
      </c>
      <c r="E312">
        <v>0</v>
      </c>
      <c r="G312">
        <f t="shared" si="4"/>
        <v>-12</v>
      </c>
      <c r="H312">
        <v>4</v>
      </c>
    </row>
    <row r="313" spans="2:8">
      <c r="B313" s="3">
        <v>45600</v>
      </c>
      <c r="C313" t="s">
        <v>33</v>
      </c>
      <c r="D313">
        <f>VLOOKUP(C313,成本价!$C$2:$D$16,2,0)*H313</f>
        <v>1.7</v>
      </c>
      <c r="E313">
        <v>6.37</v>
      </c>
      <c r="F313">
        <v>3.5</v>
      </c>
      <c r="G313">
        <f t="shared" si="4"/>
        <v>4.67</v>
      </c>
      <c r="H313">
        <v>1</v>
      </c>
    </row>
    <row r="314" spans="2:8">
      <c r="B314" s="3">
        <v>45600</v>
      </c>
      <c r="C314" t="s">
        <v>12</v>
      </c>
      <c r="D314">
        <f>VLOOKUP(C314,成本价!$C$2:$D$16,2,0)*H314</f>
        <v>2.322</v>
      </c>
      <c r="E314">
        <v>11.44</v>
      </c>
      <c r="F314">
        <v>3.5</v>
      </c>
      <c r="G314">
        <f t="shared" si="4"/>
        <v>9.118</v>
      </c>
      <c r="H314">
        <v>6</v>
      </c>
    </row>
    <row r="315" spans="2:8">
      <c r="B315" s="3">
        <v>45600</v>
      </c>
      <c r="C315" t="s">
        <v>44</v>
      </c>
      <c r="D315">
        <f>VLOOKUP(C315,成本价!$C$2:$D$16,2,0)*H315</f>
        <v>0.794</v>
      </c>
      <c r="E315">
        <v>0</v>
      </c>
      <c r="G315">
        <f t="shared" si="4"/>
        <v>-0.794</v>
      </c>
      <c r="H315">
        <v>2</v>
      </c>
    </row>
    <row r="316" spans="2:8">
      <c r="B316" s="3">
        <v>45600</v>
      </c>
      <c r="C316" t="s">
        <v>12</v>
      </c>
      <c r="D316">
        <f>VLOOKUP(C316,成本价!$C$2:$D$16,2,0)*H316</f>
        <v>3.87</v>
      </c>
      <c r="E316">
        <v>13.4</v>
      </c>
      <c r="F316">
        <v>3.5</v>
      </c>
      <c r="G316">
        <f t="shared" si="4"/>
        <v>9.53</v>
      </c>
      <c r="H316">
        <v>10</v>
      </c>
    </row>
    <row r="317" spans="2:8">
      <c r="B317" s="3">
        <v>45600</v>
      </c>
      <c r="C317" t="s">
        <v>33</v>
      </c>
      <c r="D317">
        <f>VLOOKUP(C317,成本价!$C$2:$D$16,2,0)*H317</f>
        <v>5.1</v>
      </c>
      <c r="E317">
        <v>13.8</v>
      </c>
      <c r="F317">
        <v>3.5</v>
      </c>
      <c r="G317">
        <f t="shared" si="4"/>
        <v>8.7</v>
      </c>
      <c r="H317">
        <v>3</v>
      </c>
    </row>
    <row r="318" spans="2:8">
      <c r="B318" s="3">
        <v>45600</v>
      </c>
      <c r="C318" t="s">
        <v>16</v>
      </c>
      <c r="D318">
        <f>VLOOKUP(C318,成本价!$C$2:$D$16,2,0)*H318</f>
        <v>21.6</v>
      </c>
      <c r="E318">
        <v>73.2</v>
      </c>
      <c r="F318">
        <v>3.5</v>
      </c>
      <c r="G318">
        <f t="shared" si="4"/>
        <v>51.6</v>
      </c>
      <c r="H318">
        <v>8</v>
      </c>
    </row>
    <row r="319" spans="2:8">
      <c r="B319" s="3">
        <v>45600</v>
      </c>
      <c r="C319" t="s">
        <v>20</v>
      </c>
      <c r="D319">
        <f>VLOOKUP(C319,成本价!$C$2:$D$16,2,0)*H319</f>
        <v>21</v>
      </c>
      <c r="E319">
        <v>0</v>
      </c>
      <c r="G319">
        <f t="shared" si="4"/>
        <v>-21</v>
      </c>
      <c r="H319">
        <v>7</v>
      </c>
    </row>
    <row r="320" spans="2:8">
      <c r="B320" s="3">
        <v>45600</v>
      </c>
      <c r="C320" t="s">
        <v>23</v>
      </c>
      <c r="D320">
        <f>VLOOKUP(C320,成本价!$C$2:$D$16,2,0)*H320</f>
        <v>2.08</v>
      </c>
      <c r="E320">
        <v>24.39</v>
      </c>
      <c r="F320">
        <v>3.5</v>
      </c>
      <c r="G320">
        <f t="shared" si="4"/>
        <v>22.31</v>
      </c>
      <c r="H320">
        <v>1</v>
      </c>
    </row>
    <row r="321" spans="2:8">
      <c r="B321" s="3">
        <v>45600</v>
      </c>
      <c r="C321" t="s">
        <v>28</v>
      </c>
      <c r="D321">
        <f>VLOOKUP(C321,成本价!$C$2:$D$16,2,0)*H321</f>
        <v>8.88</v>
      </c>
      <c r="G321">
        <f t="shared" si="4"/>
        <v>-8.88</v>
      </c>
      <c r="H321">
        <v>4</v>
      </c>
    </row>
    <row r="322" spans="2:8">
      <c r="B322" s="3">
        <v>45600</v>
      </c>
      <c r="C322" t="s">
        <v>23</v>
      </c>
      <c r="D322">
        <f>VLOOKUP(C322,成本价!$C$2:$D$16,2,0)*H322</f>
        <v>6.24</v>
      </c>
      <c r="E322">
        <v>12.05</v>
      </c>
      <c r="F322">
        <v>3.5</v>
      </c>
      <c r="G322">
        <f t="shared" si="4"/>
        <v>5.81</v>
      </c>
      <c r="H322">
        <v>3</v>
      </c>
    </row>
    <row r="323" spans="2:8">
      <c r="B323" s="3">
        <v>45600</v>
      </c>
      <c r="C323" t="s">
        <v>23</v>
      </c>
      <c r="D323">
        <f>VLOOKUP(C323,成本价!$C$2:$D$16,2,0)*H323</f>
        <v>2.08</v>
      </c>
      <c r="E323">
        <v>6.32</v>
      </c>
      <c r="F323">
        <v>3.5</v>
      </c>
      <c r="G323">
        <f t="shared" si="4"/>
        <v>4.24</v>
      </c>
      <c r="H323">
        <v>1</v>
      </c>
    </row>
    <row r="324" spans="2:8">
      <c r="B324" s="3">
        <v>45600</v>
      </c>
      <c r="C324" t="s">
        <v>40</v>
      </c>
      <c r="D324">
        <f>VLOOKUP(C324,成本价!$C$2:$D$16,2,0)*H324</f>
        <v>3.76</v>
      </c>
      <c r="E324">
        <v>15.48</v>
      </c>
      <c r="F324">
        <v>3.5</v>
      </c>
      <c r="G324">
        <f t="shared" si="4"/>
        <v>11.72</v>
      </c>
      <c r="H324">
        <v>2</v>
      </c>
    </row>
    <row r="325" spans="2:8">
      <c r="B325" s="3">
        <v>45600</v>
      </c>
      <c r="C325" t="s">
        <v>43</v>
      </c>
      <c r="D325">
        <f>VLOOKUP(C325,成本价!$C$2:$D$16,2,0)*H325</f>
        <v>2.02</v>
      </c>
      <c r="G325">
        <f t="shared" si="4"/>
        <v>-2.02</v>
      </c>
      <c r="H325">
        <v>1</v>
      </c>
    </row>
    <row r="326" spans="2:8">
      <c r="B326" s="3">
        <v>45600</v>
      </c>
      <c r="C326" t="s">
        <v>16</v>
      </c>
      <c r="D326">
        <f>VLOOKUP(C326,成本价!$C$2:$D$16,2,0)*H326</f>
        <v>2.7</v>
      </c>
      <c r="E326">
        <v>15.4</v>
      </c>
      <c r="F326">
        <v>3.5</v>
      </c>
      <c r="G326">
        <f t="shared" si="4"/>
        <v>12.7</v>
      </c>
      <c r="H326">
        <v>1</v>
      </c>
    </row>
    <row r="327" spans="2:8">
      <c r="B327" s="3">
        <v>45600</v>
      </c>
      <c r="C327" t="s">
        <v>40</v>
      </c>
      <c r="D327">
        <f>VLOOKUP(C327,成本价!$C$2:$D$16,2,0)*H327</f>
        <v>1.88</v>
      </c>
      <c r="G327">
        <f t="shared" si="4"/>
        <v>-1.88</v>
      </c>
      <c r="H327">
        <v>1</v>
      </c>
    </row>
    <row r="328" spans="2:8">
      <c r="B328" s="3">
        <v>45600</v>
      </c>
      <c r="C328" t="s">
        <v>33</v>
      </c>
      <c r="D328">
        <f>VLOOKUP(C328,成本价!$C$2:$D$16,2,0)*H328</f>
        <v>5.1</v>
      </c>
      <c r="E328">
        <v>14.15</v>
      </c>
      <c r="F328">
        <v>3.5</v>
      </c>
      <c r="G328">
        <f t="shared" si="4"/>
        <v>9.05</v>
      </c>
      <c r="H328">
        <v>3</v>
      </c>
    </row>
    <row r="329" spans="2:8">
      <c r="B329" s="3">
        <v>45600</v>
      </c>
      <c r="C329" t="s">
        <v>28</v>
      </c>
      <c r="D329">
        <f>VLOOKUP(C329,成本价!$C$2:$D$16,2,0)*H329</f>
        <v>2.22</v>
      </c>
      <c r="E329">
        <v>6.32</v>
      </c>
      <c r="F329">
        <v>3.5</v>
      </c>
      <c r="G329">
        <f t="shared" si="4"/>
        <v>4.1</v>
      </c>
      <c r="H329">
        <v>1</v>
      </c>
    </row>
    <row r="330" spans="2:8">
      <c r="B330" s="3">
        <v>45600</v>
      </c>
      <c r="C330" t="s">
        <v>23</v>
      </c>
      <c r="D330">
        <f>VLOOKUP(C330,成本价!$C$2:$D$16,2,0)*H330</f>
        <v>2.08</v>
      </c>
      <c r="E330">
        <v>12.35</v>
      </c>
      <c r="F330">
        <v>3.5</v>
      </c>
      <c r="G330">
        <f t="shared" si="4"/>
        <v>10.27</v>
      </c>
      <c r="H330">
        <v>1</v>
      </c>
    </row>
    <row r="331" spans="2:8">
      <c r="B331" s="3">
        <v>45600</v>
      </c>
      <c r="C331" t="s">
        <v>28</v>
      </c>
      <c r="D331">
        <f>VLOOKUP(C331,成本价!$C$2:$D$16,2,0)*H331</f>
        <v>4.44</v>
      </c>
      <c r="G331">
        <f t="shared" si="4"/>
        <v>-4.44</v>
      </c>
      <c r="H331">
        <v>2</v>
      </c>
    </row>
    <row r="332" spans="2:8">
      <c r="B332" s="3">
        <v>45600</v>
      </c>
      <c r="C332" t="s">
        <v>28</v>
      </c>
      <c r="D332">
        <f>VLOOKUP(C332,成本价!$C$2:$D$16,2,0)*H332</f>
        <v>4.44</v>
      </c>
      <c r="E332">
        <v>11.87</v>
      </c>
      <c r="F332">
        <v>3.5</v>
      </c>
      <c r="G332">
        <f t="shared" si="4"/>
        <v>7.43</v>
      </c>
      <c r="H332">
        <v>2</v>
      </c>
    </row>
    <row r="333" spans="2:9">
      <c r="B333" s="3">
        <v>45600</v>
      </c>
      <c r="I333">
        <f>180.18-37.87+3.48</f>
        <v>145.79</v>
      </c>
    </row>
    <row r="334" spans="2:8">
      <c r="B334" s="29">
        <v>45601</v>
      </c>
      <c r="C334" t="s">
        <v>33</v>
      </c>
      <c r="D334">
        <f>VLOOKUP(C334,成本价!$C$2:$D$16,2,0)*H334</f>
        <v>2.55</v>
      </c>
      <c r="E334">
        <v>3.36</v>
      </c>
      <c r="F334">
        <v>3.5</v>
      </c>
      <c r="G334">
        <f t="shared" si="4"/>
        <v>0.81</v>
      </c>
      <c r="H334">
        <v>1.5</v>
      </c>
    </row>
    <row r="335" spans="2:8">
      <c r="B335" s="3">
        <v>45601</v>
      </c>
      <c r="C335" t="s">
        <v>33</v>
      </c>
      <c r="D335">
        <f>VLOOKUP(C335,成本价!$C$2:$D$16,2,0)*H335</f>
        <v>2.55</v>
      </c>
      <c r="E335">
        <v>5.36</v>
      </c>
      <c r="F335">
        <v>3.5</v>
      </c>
      <c r="G335">
        <f t="shared" si="4"/>
        <v>2.81</v>
      </c>
      <c r="H335">
        <v>1.5</v>
      </c>
    </row>
    <row r="336" spans="2:8">
      <c r="B336" s="3">
        <v>45601</v>
      </c>
      <c r="C336" t="s">
        <v>33</v>
      </c>
      <c r="D336">
        <f>VLOOKUP(C336,成本价!$C$2:$D$16,2,0)*H336</f>
        <v>1.7</v>
      </c>
      <c r="E336">
        <v>12.12</v>
      </c>
      <c r="F336">
        <v>3.5</v>
      </c>
      <c r="G336">
        <f t="shared" si="4"/>
        <v>10.42</v>
      </c>
      <c r="H336">
        <v>1</v>
      </c>
    </row>
    <row r="337" spans="2:8">
      <c r="B337" s="3">
        <v>45601</v>
      </c>
      <c r="C337" t="s">
        <v>27</v>
      </c>
      <c r="D337">
        <f>VLOOKUP(C337,成本价!$C$2:$D$16,2,0)*H337</f>
        <v>3.6</v>
      </c>
      <c r="E337">
        <v>0</v>
      </c>
      <c r="G337">
        <f t="shared" si="4"/>
        <v>-3.6</v>
      </c>
      <c r="H337">
        <v>2</v>
      </c>
    </row>
    <row r="338" spans="2:8">
      <c r="B338" s="3">
        <v>45601</v>
      </c>
      <c r="C338" t="s">
        <v>27</v>
      </c>
      <c r="D338">
        <f>VLOOKUP(C338,成本价!$C$2:$D$16,2,0)*H338</f>
        <v>1.8</v>
      </c>
      <c r="E338">
        <v>6.05</v>
      </c>
      <c r="F338">
        <v>3.5</v>
      </c>
      <c r="G338">
        <f t="shared" si="4"/>
        <v>4.25</v>
      </c>
      <c r="H338">
        <v>1</v>
      </c>
    </row>
    <row r="339" spans="2:8">
      <c r="B339" s="3">
        <v>45601</v>
      </c>
      <c r="C339" t="s">
        <v>16</v>
      </c>
      <c r="D339">
        <f>VLOOKUP(C339,成本价!$C$2:$D$16,2,0)*H339</f>
        <v>8.1</v>
      </c>
      <c r="E339">
        <v>17.4</v>
      </c>
      <c r="F339">
        <v>3.5</v>
      </c>
      <c r="G339">
        <f t="shared" si="4"/>
        <v>9.3</v>
      </c>
      <c r="H339">
        <v>3</v>
      </c>
    </row>
    <row r="340" spans="2:8">
      <c r="B340" s="3">
        <v>45601</v>
      </c>
      <c r="C340" t="s">
        <v>33</v>
      </c>
      <c r="D340">
        <f>VLOOKUP(C340,成本价!$C$2:$D$16,2,0)*H340</f>
        <v>1.7</v>
      </c>
      <c r="E340">
        <v>6.37</v>
      </c>
      <c r="F340">
        <v>3.5</v>
      </c>
      <c r="G340">
        <f t="shared" si="4"/>
        <v>4.67</v>
      </c>
      <c r="H340">
        <v>1</v>
      </c>
    </row>
    <row r="341" spans="2:8">
      <c r="B341" s="3">
        <v>45601</v>
      </c>
      <c r="C341" t="s">
        <v>45</v>
      </c>
      <c r="D341">
        <f>VLOOKUP(C341,成本价!$C$2:$D$16,2,0)*H341</f>
        <v>7.2</v>
      </c>
      <c r="E341">
        <v>35.6</v>
      </c>
      <c r="F341">
        <v>3.5</v>
      </c>
      <c r="G341">
        <f t="shared" si="4"/>
        <v>28.4</v>
      </c>
      <c r="H341">
        <v>3</v>
      </c>
    </row>
    <row r="342" spans="2:8">
      <c r="B342" s="3">
        <v>45601</v>
      </c>
      <c r="C342" t="s">
        <v>46</v>
      </c>
      <c r="D342">
        <f>VLOOKUP(C342,成本价!$C$2:$D$16,2,0)*H342</f>
        <v>10.8</v>
      </c>
      <c r="E342">
        <v>0</v>
      </c>
      <c r="G342">
        <f t="shared" si="4"/>
        <v>-10.8</v>
      </c>
      <c r="H342">
        <v>4</v>
      </c>
    </row>
    <row r="343" spans="2:8">
      <c r="B343" s="3">
        <v>45601</v>
      </c>
      <c r="C343" t="s">
        <v>33</v>
      </c>
      <c r="D343">
        <f>VLOOKUP(C343,成本价!$C$2:$D$16,2,0)*H343</f>
        <v>5.1</v>
      </c>
      <c r="E343">
        <v>38.7</v>
      </c>
      <c r="F343">
        <v>3.5</v>
      </c>
      <c r="G343">
        <f t="shared" si="4"/>
        <v>33.6</v>
      </c>
      <c r="H343">
        <v>3</v>
      </c>
    </row>
    <row r="344" spans="2:8">
      <c r="B344" s="3">
        <v>45601</v>
      </c>
      <c r="C344" t="s">
        <v>27</v>
      </c>
      <c r="D344">
        <f>VLOOKUP(C344,成本价!$C$2:$D$16,2,0)*H344</f>
        <v>7.2</v>
      </c>
      <c r="E344">
        <v>0</v>
      </c>
      <c r="G344">
        <f t="shared" si="4"/>
        <v>-7.2</v>
      </c>
      <c r="H344">
        <v>4</v>
      </c>
    </row>
    <row r="345" spans="2:8">
      <c r="B345" s="3">
        <v>45601</v>
      </c>
      <c r="C345" t="s">
        <v>33</v>
      </c>
      <c r="D345">
        <f>VLOOKUP(C345,成本价!$C$2:$D$16,2,0)*H345</f>
        <v>1.7</v>
      </c>
      <c r="E345">
        <v>6.37</v>
      </c>
      <c r="F345">
        <v>3.5</v>
      </c>
      <c r="G345">
        <f t="shared" si="4"/>
        <v>4.67</v>
      </c>
      <c r="H345">
        <v>1</v>
      </c>
    </row>
    <row r="346" spans="2:8">
      <c r="B346" s="3">
        <v>45601</v>
      </c>
      <c r="C346" t="s">
        <v>40</v>
      </c>
      <c r="D346">
        <f>VLOOKUP(C346,成本价!$C$2:$D$16,2,0)*H346</f>
        <v>1.88</v>
      </c>
      <c r="E346">
        <v>28</v>
      </c>
      <c r="F346">
        <v>3.5</v>
      </c>
      <c r="G346">
        <f t="shared" si="4"/>
        <v>26.12</v>
      </c>
      <c r="H346">
        <v>1</v>
      </c>
    </row>
    <row r="347" spans="2:8">
      <c r="B347" s="3">
        <v>45601</v>
      </c>
      <c r="C347" t="s">
        <v>43</v>
      </c>
      <c r="D347">
        <f>VLOOKUP(C347,成本价!$C$2:$D$16,2,0)*H347</f>
        <v>8.08</v>
      </c>
      <c r="E347">
        <v>0</v>
      </c>
      <c r="G347">
        <f t="shared" si="4"/>
        <v>-8.08</v>
      </c>
      <c r="H347">
        <v>4</v>
      </c>
    </row>
    <row r="348" spans="2:8">
      <c r="B348" s="3">
        <v>45601</v>
      </c>
      <c r="C348" t="s">
        <v>33</v>
      </c>
      <c r="D348">
        <f>VLOOKUP(C348,成本价!$C$2:$D$16,2,0)*H348</f>
        <v>1.7</v>
      </c>
      <c r="E348">
        <v>6.37</v>
      </c>
      <c r="F348">
        <v>3.5</v>
      </c>
      <c r="G348">
        <f t="shared" si="4"/>
        <v>4.67</v>
      </c>
      <c r="H348">
        <v>1</v>
      </c>
    </row>
    <row r="349" spans="2:8">
      <c r="B349" s="3">
        <v>45601</v>
      </c>
      <c r="C349" t="s">
        <v>33</v>
      </c>
      <c r="D349">
        <f>VLOOKUP(C349,成本价!$C$2:$D$16,2,0)*H349</f>
        <v>2.55</v>
      </c>
      <c r="E349">
        <v>5.36</v>
      </c>
      <c r="F349">
        <v>3.5</v>
      </c>
      <c r="G349">
        <f t="shared" si="4"/>
        <v>2.81</v>
      </c>
      <c r="H349">
        <v>1.5</v>
      </c>
    </row>
    <row r="350" spans="2:8">
      <c r="B350" s="3">
        <v>45601</v>
      </c>
      <c r="C350" t="s">
        <v>33</v>
      </c>
      <c r="D350">
        <f>VLOOKUP(C350,成本价!$C$2:$D$16,2,0)*H350</f>
        <v>5.1</v>
      </c>
      <c r="E350">
        <v>13.8</v>
      </c>
      <c r="F350">
        <v>3.5</v>
      </c>
      <c r="G350">
        <f t="shared" si="4"/>
        <v>8.7</v>
      </c>
      <c r="H350">
        <v>3</v>
      </c>
    </row>
    <row r="351" spans="2:8">
      <c r="B351" s="3">
        <v>45601</v>
      </c>
      <c r="C351" t="s">
        <v>36</v>
      </c>
      <c r="D351">
        <f>VLOOKUP(C351,成本价!$C$2:$D$16,2,0)*H351</f>
        <v>6.96</v>
      </c>
      <c r="E351">
        <v>29.9</v>
      </c>
      <c r="F351">
        <v>3.5</v>
      </c>
      <c r="G351">
        <f t="shared" si="4"/>
        <v>22.94</v>
      </c>
      <c r="H351">
        <v>3</v>
      </c>
    </row>
    <row r="352" spans="2:8">
      <c r="B352" s="3">
        <v>45601</v>
      </c>
      <c r="C352" t="s">
        <v>37</v>
      </c>
      <c r="D352">
        <f>VLOOKUP(C352,成本价!$C$2:$D$16,2,0)*H352</f>
        <v>5.08</v>
      </c>
      <c r="E352">
        <v>0</v>
      </c>
      <c r="G352">
        <f t="shared" si="4"/>
        <v>-5.08</v>
      </c>
      <c r="H352">
        <v>2</v>
      </c>
    </row>
    <row r="353" spans="2:8">
      <c r="B353" s="3">
        <v>45601</v>
      </c>
      <c r="C353" t="s">
        <v>33</v>
      </c>
      <c r="D353">
        <f>VLOOKUP(C353,成本价!$C$2:$D$16,2,0)*H353</f>
        <v>1.7</v>
      </c>
      <c r="E353">
        <v>13.8</v>
      </c>
      <c r="F353">
        <v>3.5</v>
      </c>
      <c r="G353">
        <f t="shared" si="4"/>
        <v>12.1</v>
      </c>
      <c r="H353">
        <v>1</v>
      </c>
    </row>
    <row r="354" spans="2:8">
      <c r="B354" s="3">
        <v>45601</v>
      </c>
      <c r="C354" t="s">
        <v>27</v>
      </c>
      <c r="D354">
        <f>VLOOKUP(C354,成本价!$C$2:$D$16,2,0)*H354</f>
        <v>3.6</v>
      </c>
      <c r="E354">
        <v>0</v>
      </c>
      <c r="G354">
        <f t="shared" si="4"/>
        <v>-3.6</v>
      </c>
      <c r="H354">
        <v>2</v>
      </c>
    </row>
    <row r="355" spans="2:8">
      <c r="B355" s="3">
        <v>45601</v>
      </c>
      <c r="C355" t="s">
        <v>33</v>
      </c>
      <c r="D355">
        <f>VLOOKUP(C355,成本价!$C$2:$D$16,2,0)*H355</f>
        <v>1.7</v>
      </c>
      <c r="E355">
        <v>6.37</v>
      </c>
      <c r="F355">
        <v>3.5</v>
      </c>
      <c r="G355">
        <f t="shared" si="4"/>
        <v>4.67</v>
      </c>
      <c r="H355">
        <v>1</v>
      </c>
    </row>
    <row r="356" spans="2:8">
      <c r="B356" s="3">
        <v>45601</v>
      </c>
      <c r="C356" t="s">
        <v>16</v>
      </c>
      <c r="D356">
        <f>VLOOKUP(C356,成本价!$C$2:$D$16,2,0)*H356</f>
        <v>8.1</v>
      </c>
      <c r="E356">
        <v>38.8</v>
      </c>
      <c r="F356">
        <v>3.5</v>
      </c>
      <c r="G356">
        <f t="shared" si="4"/>
        <v>30.7</v>
      </c>
      <c r="H356">
        <v>3</v>
      </c>
    </row>
    <row r="357" spans="2:8">
      <c r="B357" s="3">
        <v>45601</v>
      </c>
      <c r="C357" t="s">
        <v>20</v>
      </c>
      <c r="D357">
        <f>VLOOKUP(C357,成本价!$C$2:$D$16,2,0)*H357</f>
        <v>12</v>
      </c>
      <c r="E357">
        <v>0</v>
      </c>
      <c r="G357">
        <f t="shared" si="4"/>
        <v>-12</v>
      </c>
      <c r="H357">
        <v>4</v>
      </c>
    </row>
    <row r="358" spans="2:8">
      <c r="B358" s="3">
        <v>45601</v>
      </c>
      <c r="C358" t="s">
        <v>33</v>
      </c>
      <c r="D358">
        <f>VLOOKUP(C358,成本价!$C$2:$D$16,2,0)*H358</f>
        <v>2.55</v>
      </c>
      <c r="E358">
        <v>5.36</v>
      </c>
      <c r="F358">
        <v>3.5</v>
      </c>
      <c r="G358">
        <f t="shared" si="4"/>
        <v>2.81</v>
      </c>
      <c r="H358">
        <v>1.5</v>
      </c>
    </row>
    <row r="359" spans="2:8">
      <c r="B359" s="3">
        <v>45601</v>
      </c>
      <c r="C359" t="s">
        <v>33</v>
      </c>
      <c r="D359">
        <f>VLOOKUP(C359,成本价!$C$2:$D$16,2,0)*H359</f>
        <v>2.55</v>
      </c>
      <c r="E359">
        <v>5.36</v>
      </c>
      <c r="F359">
        <v>3.5</v>
      </c>
      <c r="G359">
        <f t="shared" si="4"/>
        <v>2.81</v>
      </c>
      <c r="H359">
        <v>1.5</v>
      </c>
    </row>
    <row r="360" spans="2:8">
      <c r="B360" s="3">
        <v>45601</v>
      </c>
      <c r="C360" t="s">
        <v>33</v>
      </c>
      <c r="D360">
        <f>VLOOKUP(C360,成本价!$C$2:$D$16,2,0)*H360</f>
        <v>5.1</v>
      </c>
      <c r="E360">
        <v>13.8</v>
      </c>
      <c r="F360">
        <v>3.5</v>
      </c>
      <c r="G360">
        <f t="shared" si="4"/>
        <v>8.7</v>
      </c>
      <c r="H360">
        <v>3</v>
      </c>
    </row>
    <row r="361" spans="2:8">
      <c r="B361" s="3">
        <v>45601</v>
      </c>
      <c r="C361" t="s">
        <v>33</v>
      </c>
      <c r="D361">
        <f>VLOOKUP(C361,成本价!$C$2:$D$16,2,0)*H361</f>
        <v>1.7</v>
      </c>
      <c r="E361">
        <v>13.8</v>
      </c>
      <c r="F361">
        <v>3.5</v>
      </c>
      <c r="G361">
        <f t="shared" si="4"/>
        <v>12.1</v>
      </c>
      <c r="H361">
        <v>1</v>
      </c>
    </row>
    <row r="362" spans="2:8">
      <c r="B362" s="3">
        <v>45601</v>
      </c>
      <c r="C362" t="s">
        <v>27</v>
      </c>
      <c r="D362">
        <f>VLOOKUP(C362,成本价!$C$2:$D$16,2,0)*H362</f>
        <v>3.6</v>
      </c>
      <c r="E362">
        <v>0</v>
      </c>
      <c r="G362">
        <f t="shared" si="4"/>
        <v>-3.6</v>
      </c>
      <c r="H362">
        <v>2</v>
      </c>
    </row>
    <row r="363" spans="2:8">
      <c r="B363" s="3">
        <v>45601</v>
      </c>
      <c r="C363" t="s">
        <v>16</v>
      </c>
      <c r="D363">
        <f>VLOOKUP(C363,成本价!$C$2:$D$16,2,0)*H363</f>
        <v>2.7</v>
      </c>
      <c r="E363">
        <v>25.6</v>
      </c>
      <c r="F363">
        <v>3.5</v>
      </c>
      <c r="G363">
        <f t="shared" si="4"/>
        <v>22.9</v>
      </c>
      <c r="H363">
        <v>1</v>
      </c>
    </row>
    <row r="364" spans="2:8">
      <c r="B364" s="3">
        <v>45601</v>
      </c>
      <c r="C364" t="s">
        <v>20</v>
      </c>
      <c r="D364">
        <f>VLOOKUP(C364,成本价!$C$2:$D$16,2,0)*H364</f>
        <v>12</v>
      </c>
      <c r="E364">
        <v>0</v>
      </c>
      <c r="G364">
        <f t="shared" si="4"/>
        <v>-12</v>
      </c>
      <c r="H364">
        <v>4</v>
      </c>
    </row>
    <row r="365" spans="2:8">
      <c r="B365" s="3">
        <v>45601</v>
      </c>
      <c r="C365" t="s">
        <v>28</v>
      </c>
      <c r="D365">
        <f>VLOOKUP(C365,成本价!$C$2:$D$16,2,0)*H365</f>
        <v>3.33</v>
      </c>
      <c r="E365">
        <v>6.32</v>
      </c>
      <c r="F365">
        <v>3.5</v>
      </c>
      <c r="G365">
        <f t="shared" si="4"/>
        <v>2.99</v>
      </c>
      <c r="H365">
        <v>1.5</v>
      </c>
    </row>
    <row r="366" spans="2:8">
      <c r="B366" s="3">
        <v>45601</v>
      </c>
      <c r="C366" t="s">
        <v>33</v>
      </c>
      <c r="D366">
        <f>VLOOKUP(C366,成本价!$C$2:$D$16,2,0)*H366</f>
        <v>2.55</v>
      </c>
      <c r="E366">
        <v>5.36</v>
      </c>
      <c r="F366">
        <v>3.5</v>
      </c>
      <c r="G366">
        <f t="shared" si="4"/>
        <v>2.81</v>
      </c>
      <c r="H366">
        <v>1.5</v>
      </c>
    </row>
    <row r="367" spans="2:8">
      <c r="B367" s="3">
        <v>45601</v>
      </c>
      <c r="C367" t="s">
        <v>23</v>
      </c>
      <c r="D367">
        <f>VLOOKUP(C367,成本价!$C$2:$D$16,2,0)*H367</f>
        <v>4.16</v>
      </c>
      <c r="E367">
        <v>16.03</v>
      </c>
      <c r="F367">
        <v>3.5</v>
      </c>
      <c r="G367">
        <f t="shared" si="4"/>
        <v>11.87</v>
      </c>
      <c r="H367">
        <v>2</v>
      </c>
    </row>
    <row r="368" spans="2:8">
      <c r="B368" s="3">
        <v>45601</v>
      </c>
      <c r="C368" t="s">
        <v>28</v>
      </c>
      <c r="D368">
        <f>VLOOKUP(C368,成本价!$C$2:$D$16,2,0)*H368</f>
        <v>2.22</v>
      </c>
      <c r="G368">
        <f t="shared" si="4"/>
        <v>-2.22</v>
      </c>
      <c r="H368">
        <v>1</v>
      </c>
    </row>
    <row r="369" spans="2:8">
      <c r="B369" s="3">
        <v>45601</v>
      </c>
      <c r="C369" t="s">
        <v>23</v>
      </c>
      <c r="D369">
        <f>VLOOKUP(C369,成本价!$C$2:$D$16,2,0)*H369</f>
        <v>2.08</v>
      </c>
      <c r="E369">
        <v>6.32</v>
      </c>
      <c r="F369">
        <v>3.5</v>
      </c>
      <c r="G369">
        <f t="shared" si="4"/>
        <v>4.24</v>
      </c>
      <c r="H369">
        <v>1</v>
      </c>
    </row>
    <row r="370" spans="2:8">
      <c r="B370" s="3">
        <v>45601</v>
      </c>
      <c r="C370" t="s">
        <v>33</v>
      </c>
      <c r="D370">
        <f>VLOOKUP(C370,成本价!$C$2:$D$16,2,0)*H370</f>
        <v>1.7</v>
      </c>
      <c r="E370">
        <v>6.89</v>
      </c>
      <c r="F370">
        <v>3.5</v>
      </c>
      <c r="G370">
        <f t="shared" si="4"/>
        <v>5.19</v>
      </c>
      <c r="H370">
        <v>1</v>
      </c>
    </row>
    <row r="371" spans="2:8">
      <c r="B371" s="3">
        <v>45601</v>
      </c>
      <c r="C371" t="s">
        <v>33</v>
      </c>
      <c r="D371">
        <f>VLOOKUP(C371,成本价!$C$2:$D$16,2,0)*H371</f>
        <v>1.7</v>
      </c>
      <c r="E371">
        <v>6.89</v>
      </c>
      <c r="F371">
        <v>3.5</v>
      </c>
      <c r="G371">
        <f t="shared" si="4"/>
        <v>5.19</v>
      </c>
      <c r="H371">
        <v>1</v>
      </c>
    </row>
    <row r="372" spans="2:8">
      <c r="B372" s="3">
        <v>45601</v>
      </c>
      <c r="C372" t="s">
        <v>23</v>
      </c>
      <c r="D372">
        <f>VLOOKUP(C372,成本价!$C$2:$D$16,2,0)*H372</f>
        <v>2.08</v>
      </c>
      <c r="E372">
        <v>13.11</v>
      </c>
      <c r="F372">
        <v>3.5</v>
      </c>
      <c r="G372">
        <f t="shared" si="4"/>
        <v>11.03</v>
      </c>
      <c r="H372">
        <v>1</v>
      </c>
    </row>
    <row r="373" spans="2:8">
      <c r="B373" s="3">
        <v>45601</v>
      </c>
      <c r="C373" t="s">
        <v>28</v>
      </c>
      <c r="D373">
        <f>VLOOKUP(C373,成本价!$C$2:$D$16,2,0)*H373</f>
        <v>4.44</v>
      </c>
      <c r="G373">
        <f t="shared" si="4"/>
        <v>-4.44</v>
      </c>
      <c r="H373">
        <v>2</v>
      </c>
    </row>
    <row r="374" spans="2:8">
      <c r="B374" s="3">
        <v>45601</v>
      </c>
      <c r="C374" t="s">
        <v>23</v>
      </c>
      <c r="D374">
        <f>VLOOKUP(C374,成本价!$C$2:$D$16,2,0)*H374</f>
        <v>4.16</v>
      </c>
      <c r="E374">
        <v>14.22</v>
      </c>
      <c r="F374">
        <v>3.5</v>
      </c>
      <c r="G374">
        <f t="shared" si="4"/>
        <v>10.06</v>
      </c>
      <c r="H374">
        <v>2</v>
      </c>
    </row>
    <row r="375" spans="2:8">
      <c r="B375" s="3">
        <v>45601</v>
      </c>
      <c r="C375" t="s">
        <v>28</v>
      </c>
      <c r="D375">
        <f>VLOOKUP(C375,成本价!$C$2:$D$16,2,0)*H375</f>
        <v>2.22</v>
      </c>
      <c r="G375">
        <f t="shared" si="4"/>
        <v>-2.22</v>
      </c>
      <c r="H375">
        <v>1</v>
      </c>
    </row>
    <row r="376" spans="2:8">
      <c r="B376" s="3">
        <v>45601</v>
      </c>
      <c r="C376" t="s">
        <v>23</v>
      </c>
      <c r="D376">
        <f>VLOOKUP(C376,成本价!$C$2:$D$16,2,0)*H376</f>
        <v>4.16</v>
      </c>
      <c r="E376">
        <v>14.22</v>
      </c>
      <c r="F376">
        <v>3.5</v>
      </c>
      <c r="G376">
        <f t="shared" si="4"/>
        <v>10.06</v>
      </c>
      <c r="H376">
        <v>2</v>
      </c>
    </row>
    <row r="377" spans="2:8">
      <c r="B377" s="3">
        <v>45601</v>
      </c>
      <c r="C377" t="s">
        <v>28</v>
      </c>
      <c r="D377">
        <f>VLOOKUP(C377,成本价!$C$2:$D$16,2,0)*H377</f>
        <v>2.22</v>
      </c>
      <c r="G377">
        <f t="shared" si="4"/>
        <v>-2.22</v>
      </c>
      <c r="H377">
        <v>1</v>
      </c>
    </row>
    <row r="378" spans="2:8">
      <c r="B378" s="3">
        <v>45601</v>
      </c>
      <c r="C378" t="s">
        <v>23</v>
      </c>
      <c r="D378">
        <f>VLOOKUP(C378,成本价!$C$2:$D$16,2,0)*H378</f>
        <v>2.08</v>
      </c>
      <c r="E378">
        <v>6.7</v>
      </c>
      <c r="F378">
        <v>3.5</v>
      </c>
      <c r="G378">
        <f t="shared" si="4"/>
        <v>4.62</v>
      </c>
      <c r="H378">
        <v>1</v>
      </c>
    </row>
    <row r="379" spans="2:8">
      <c r="B379" s="3">
        <v>45601</v>
      </c>
      <c r="C379" t="s">
        <v>23</v>
      </c>
      <c r="D379">
        <f>VLOOKUP(C379,成本价!$C$2:$D$16,2,0)*H379</f>
        <v>6.24</v>
      </c>
      <c r="E379">
        <v>25.39</v>
      </c>
      <c r="F379">
        <v>3.5</v>
      </c>
      <c r="G379">
        <f t="shared" si="4"/>
        <v>19.15</v>
      </c>
      <c r="H379">
        <v>3</v>
      </c>
    </row>
    <row r="380" spans="2:8">
      <c r="B380" s="3">
        <v>45601</v>
      </c>
      <c r="C380" t="s">
        <v>28</v>
      </c>
      <c r="D380">
        <f>VLOOKUP(C380,成本价!$C$2:$D$16,2,0)*H380</f>
        <v>4.44</v>
      </c>
      <c r="G380">
        <f t="shared" si="4"/>
        <v>-4.44</v>
      </c>
      <c r="H380">
        <v>2</v>
      </c>
    </row>
    <row r="381" spans="2:8">
      <c r="B381" s="3">
        <v>45601</v>
      </c>
      <c r="C381" t="s">
        <v>33</v>
      </c>
      <c r="D381">
        <f>VLOOKUP(C381,成本价!$C$2:$D$16,2,0)*H381</f>
        <v>5.1</v>
      </c>
      <c r="E381">
        <v>15.15</v>
      </c>
      <c r="F381">
        <v>3.5</v>
      </c>
      <c r="G381">
        <f t="shared" si="4"/>
        <v>10.05</v>
      </c>
      <c r="H381">
        <v>3</v>
      </c>
    </row>
    <row r="382" spans="2:9">
      <c r="B382" s="3">
        <v>45601</v>
      </c>
      <c r="I382">
        <f>200.64-35.94-36.57+37.87</f>
        <v>166</v>
      </c>
    </row>
    <row r="383" spans="2:8">
      <c r="B383" s="29">
        <v>45602</v>
      </c>
      <c r="C383" t="s">
        <v>12</v>
      </c>
      <c r="D383">
        <f>VLOOKUP(C383,成本价!$C$2:$D$16,2,0)*H383</f>
        <v>3.87</v>
      </c>
      <c r="E383">
        <v>11.99</v>
      </c>
      <c r="F383">
        <v>3.5</v>
      </c>
      <c r="G383">
        <f t="shared" ref="G383:G444" si="5">E383-D383</f>
        <v>8.12</v>
      </c>
      <c r="H383">
        <v>10</v>
      </c>
    </row>
    <row r="384" spans="2:8">
      <c r="B384" s="3">
        <v>45602</v>
      </c>
      <c r="C384" t="s">
        <v>33</v>
      </c>
      <c r="D384">
        <f>VLOOKUP(C384,成本价!$C$2:$D$16,2,0)*H384</f>
        <v>3.4</v>
      </c>
      <c r="E384">
        <v>13.8</v>
      </c>
      <c r="F384">
        <v>3.5</v>
      </c>
      <c r="G384">
        <f t="shared" si="5"/>
        <v>10.4</v>
      </c>
      <c r="H384">
        <v>2</v>
      </c>
    </row>
    <row r="385" spans="2:8">
      <c r="B385" s="3">
        <v>45602</v>
      </c>
      <c r="C385" t="s">
        <v>27</v>
      </c>
      <c r="D385">
        <f>VLOOKUP(C385,成本价!$C$2:$D$16,2,0)*H385</f>
        <v>1.8</v>
      </c>
      <c r="E385">
        <v>0</v>
      </c>
      <c r="G385">
        <f t="shared" si="5"/>
        <v>-1.8</v>
      </c>
      <c r="H385">
        <v>1</v>
      </c>
    </row>
    <row r="386" spans="2:8">
      <c r="B386" s="3">
        <v>45602</v>
      </c>
      <c r="C386" t="s">
        <v>12</v>
      </c>
      <c r="D386">
        <f>VLOOKUP(C386,成本价!$C$2:$D$16,2,0)*H386</f>
        <v>2.709</v>
      </c>
      <c r="E386">
        <v>11.99</v>
      </c>
      <c r="F386">
        <v>3.5</v>
      </c>
      <c r="G386">
        <f t="shared" si="5"/>
        <v>9.281</v>
      </c>
      <c r="H386">
        <v>7</v>
      </c>
    </row>
    <row r="387" spans="2:8">
      <c r="B387" s="3">
        <v>45602</v>
      </c>
      <c r="C387" t="s">
        <v>44</v>
      </c>
      <c r="D387">
        <f>VLOOKUP(C387,成本价!$C$2:$D$16,2,0)*H387</f>
        <v>1.191</v>
      </c>
      <c r="E387">
        <v>0</v>
      </c>
      <c r="G387">
        <f t="shared" si="5"/>
        <v>-1.191</v>
      </c>
      <c r="H387">
        <v>3</v>
      </c>
    </row>
    <row r="388" spans="2:8">
      <c r="B388" s="3">
        <v>45602</v>
      </c>
      <c r="C388" t="s">
        <v>33</v>
      </c>
      <c r="D388">
        <f>VLOOKUP(C388,成本价!$C$2:$D$16,2,0)*H388</f>
        <v>3.4</v>
      </c>
      <c r="E388">
        <v>12.12</v>
      </c>
      <c r="F388">
        <v>3.5</v>
      </c>
      <c r="G388">
        <f t="shared" si="5"/>
        <v>8.72</v>
      </c>
      <c r="H388">
        <v>2</v>
      </c>
    </row>
    <row r="389" spans="2:8">
      <c r="B389" s="3">
        <v>45602</v>
      </c>
      <c r="C389" t="s">
        <v>27</v>
      </c>
      <c r="D389">
        <f>VLOOKUP(C389,成本价!$C$2:$D$16,2,0)*H389</f>
        <v>1.8</v>
      </c>
      <c r="E389">
        <v>0</v>
      </c>
      <c r="G389">
        <f t="shared" si="5"/>
        <v>-1.8</v>
      </c>
      <c r="H389">
        <v>1</v>
      </c>
    </row>
    <row r="390" spans="2:8">
      <c r="B390" s="3">
        <v>45602</v>
      </c>
      <c r="C390" t="s">
        <v>27</v>
      </c>
      <c r="D390">
        <f>VLOOKUP(C390,成本价!$C$2:$D$16,2,0)*H390</f>
        <v>1.8</v>
      </c>
      <c r="E390">
        <v>6.05</v>
      </c>
      <c r="F390">
        <v>3.5</v>
      </c>
      <c r="G390">
        <f t="shared" si="5"/>
        <v>4.25</v>
      </c>
      <c r="H390">
        <v>1</v>
      </c>
    </row>
    <row r="391" spans="2:8">
      <c r="B391" s="3">
        <v>45602</v>
      </c>
      <c r="C391" t="s">
        <v>12</v>
      </c>
      <c r="D391">
        <f>VLOOKUP(C391,成本价!$C$2:$D$16,2,0)*H391</f>
        <v>2.709</v>
      </c>
      <c r="E391">
        <v>11.99</v>
      </c>
      <c r="F391">
        <v>3.5</v>
      </c>
      <c r="G391">
        <f t="shared" si="5"/>
        <v>9.281</v>
      </c>
      <c r="H391">
        <v>7</v>
      </c>
    </row>
    <row r="392" spans="2:8">
      <c r="B392" s="3">
        <v>45602</v>
      </c>
      <c r="C392" t="s">
        <v>44</v>
      </c>
      <c r="D392">
        <f>VLOOKUP(C392,成本价!$C$2:$D$16,2,0)*H392</f>
        <v>1.191</v>
      </c>
      <c r="E392">
        <v>0</v>
      </c>
      <c r="G392">
        <f t="shared" si="5"/>
        <v>-1.191</v>
      </c>
      <c r="H392">
        <v>3</v>
      </c>
    </row>
    <row r="393" spans="2:8">
      <c r="B393" s="3">
        <v>45602</v>
      </c>
      <c r="C393" t="s">
        <v>33</v>
      </c>
      <c r="D393">
        <f>VLOOKUP(C393,成本价!$C$2:$D$16,2,0)*H393</f>
        <v>5.1</v>
      </c>
      <c r="E393">
        <v>13.8</v>
      </c>
      <c r="F393">
        <v>3.5</v>
      </c>
      <c r="G393">
        <f t="shared" si="5"/>
        <v>8.7</v>
      </c>
      <c r="H393">
        <v>3</v>
      </c>
    </row>
    <row r="394" spans="2:8">
      <c r="B394" s="3">
        <v>45602</v>
      </c>
      <c r="C394" t="s">
        <v>16</v>
      </c>
      <c r="D394">
        <f>VLOOKUP(C394,成本价!$C$2:$D$16,2,0)*H394</f>
        <v>5.4</v>
      </c>
      <c r="E394">
        <v>17.4</v>
      </c>
      <c r="F394">
        <v>3.5</v>
      </c>
      <c r="G394">
        <f t="shared" si="5"/>
        <v>12</v>
      </c>
      <c r="H394">
        <v>2</v>
      </c>
    </row>
    <row r="395" spans="2:8">
      <c r="B395" s="3">
        <v>45602</v>
      </c>
      <c r="C395" t="s">
        <v>20</v>
      </c>
      <c r="D395">
        <f>VLOOKUP(C395,成本价!$C$2:$D$16,2,0)*H395</f>
        <v>3</v>
      </c>
      <c r="E395">
        <v>0</v>
      </c>
      <c r="G395">
        <f t="shared" si="5"/>
        <v>-3</v>
      </c>
      <c r="H395">
        <v>1</v>
      </c>
    </row>
    <row r="396" spans="2:8">
      <c r="B396" s="3">
        <v>45602</v>
      </c>
      <c r="C396" t="s">
        <v>12</v>
      </c>
      <c r="D396">
        <f>VLOOKUP(C396,成本价!$C$2:$D$16,2,0)*H396</f>
        <v>2.709</v>
      </c>
      <c r="E396">
        <v>11.57</v>
      </c>
      <c r="F396">
        <v>3.5</v>
      </c>
      <c r="G396">
        <f t="shared" si="5"/>
        <v>8.861</v>
      </c>
      <c r="H396">
        <v>7</v>
      </c>
    </row>
    <row r="397" spans="2:8">
      <c r="B397" s="3">
        <v>45602</v>
      </c>
      <c r="C397" t="s">
        <v>44</v>
      </c>
      <c r="D397">
        <f>VLOOKUP(C397,成本价!$C$2:$D$16,2,0)*H397</f>
        <v>1.191</v>
      </c>
      <c r="E397">
        <v>0</v>
      </c>
      <c r="G397">
        <f t="shared" si="5"/>
        <v>-1.191</v>
      </c>
      <c r="H397">
        <v>3</v>
      </c>
    </row>
    <row r="398" spans="2:8">
      <c r="B398" s="3">
        <v>45602</v>
      </c>
      <c r="C398" t="s">
        <v>33</v>
      </c>
      <c r="D398">
        <f>VLOOKUP(C398,成本价!$C$2:$D$16,2,0)*H398</f>
        <v>2.55</v>
      </c>
      <c r="E398">
        <v>5.36</v>
      </c>
      <c r="F398">
        <v>3.5</v>
      </c>
      <c r="G398">
        <f t="shared" si="5"/>
        <v>2.81</v>
      </c>
      <c r="H398">
        <v>1.5</v>
      </c>
    </row>
    <row r="399" spans="2:8">
      <c r="B399" s="3">
        <v>45602</v>
      </c>
      <c r="C399" t="s">
        <v>33</v>
      </c>
      <c r="D399">
        <f>VLOOKUP(C399,成本价!$C$2:$D$16,2,0)*H399</f>
        <v>2.55</v>
      </c>
      <c r="E399">
        <v>5.36</v>
      </c>
      <c r="F399">
        <v>3.5</v>
      </c>
      <c r="G399">
        <f t="shared" si="5"/>
        <v>2.81</v>
      </c>
      <c r="H399">
        <v>1.5</v>
      </c>
    </row>
    <row r="400" spans="2:8">
      <c r="B400" s="3">
        <v>45602</v>
      </c>
      <c r="C400" t="s">
        <v>33</v>
      </c>
      <c r="D400">
        <f>VLOOKUP(C400,成本价!$C$2:$D$16,2,0)*H400</f>
        <v>2.55</v>
      </c>
      <c r="E400">
        <v>5.36</v>
      </c>
      <c r="F400">
        <v>3.5</v>
      </c>
      <c r="G400">
        <f t="shared" si="5"/>
        <v>2.81</v>
      </c>
      <c r="H400">
        <v>1.5</v>
      </c>
    </row>
    <row r="401" spans="2:8">
      <c r="B401" s="3">
        <v>45602</v>
      </c>
      <c r="C401" t="s">
        <v>16</v>
      </c>
      <c r="D401">
        <f>VLOOKUP(C401,成本价!$C$2:$D$16,2,0)*H401</f>
        <v>16.2</v>
      </c>
      <c r="E401">
        <v>34.8</v>
      </c>
      <c r="F401">
        <v>3.5</v>
      </c>
      <c r="G401">
        <f t="shared" si="5"/>
        <v>18.6</v>
      </c>
      <c r="H401">
        <v>6</v>
      </c>
    </row>
    <row r="402" spans="2:8">
      <c r="B402" s="3">
        <v>45602</v>
      </c>
      <c r="C402" t="s">
        <v>33</v>
      </c>
      <c r="D402">
        <f>VLOOKUP(C402,成本价!$C$2:$D$16,2,0)*H402</f>
        <v>1.7</v>
      </c>
      <c r="E402">
        <v>26.8</v>
      </c>
      <c r="F402">
        <v>3.5</v>
      </c>
      <c r="G402">
        <f t="shared" si="5"/>
        <v>25.1</v>
      </c>
      <c r="H402">
        <v>1</v>
      </c>
    </row>
    <row r="403" spans="2:8">
      <c r="B403" s="3">
        <v>45602</v>
      </c>
      <c r="C403" t="s">
        <v>27</v>
      </c>
      <c r="D403">
        <f>VLOOKUP(C403,成本价!$C$2:$D$16,2,0)*H403</f>
        <v>7.2</v>
      </c>
      <c r="E403">
        <v>0</v>
      </c>
      <c r="G403">
        <f t="shared" si="5"/>
        <v>-7.2</v>
      </c>
      <c r="H403">
        <v>4</v>
      </c>
    </row>
    <row r="404" spans="2:8">
      <c r="B404" s="3">
        <v>45602</v>
      </c>
      <c r="C404" t="s">
        <v>12</v>
      </c>
      <c r="D404">
        <f>VLOOKUP(C404,成本价!$C$2:$D$16,2,0)*H404</f>
        <v>0.774</v>
      </c>
      <c r="E404">
        <v>9.49</v>
      </c>
      <c r="F404">
        <v>3.5</v>
      </c>
      <c r="G404">
        <f t="shared" si="5"/>
        <v>8.716</v>
      </c>
      <c r="H404">
        <v>2</v>
      </c>
    </row>
    <row r="405" spans="2:8">
      <c r="B405" s="3">
        <v>45602</v>
      </c>
      <c r="C405" t="s">
        <v>44</v>
      </c>
      <c r="D405">
        <f>VLOOKUP(C405,成本价!$C$2:$D$16,2,0)*H405</f>
        <v>1.588</v>
      </c>
      <c r="E405">
        <v>0</v>
      </c>
      <c r="G405">
        <f t="shared" si="5"/>
        <v>-1.588</v>
      </c>
      <c r="H405">
        <v>4</v>
      </c>
    </row>
    <row r="406" spans="2:8">
      <c r="B406" s="3">
        <v>45602</v>
      </c>
      <c r="C406" t="s">
        <v>33</v>
      </c>
      <c r="D406">
        <f>VLOOKUP(C406,成本价!$C$2:$D$16,2,0)*H406</f>
        <v>1.7</v>
      </c>
      <c r="E406">
        <v>12</v>
      </c>
      <c r="F406">
        <v>3.5</v>
      </c>
      <c r="G406">
        <f t="shared" si="5"/>
        <v>10.3</v>
      </c>
      <c r="H406">
        <v>1</v>
      </c>
    </row>
    <row r="407" spans="2:8">
      <c r="B407" s="3">
        <v>45602</v>
      </c>
      <c r="C407" t="s">
        <v>27</v>
      </c>
      <c r="D407">
        <f>VLOOKUP(C407,成本价!$C$2:$D$16,2,0)*H407</f>
        <v>3.6</v>
      </c>
      <c r="E407">
        <v>0</v>
      </c>
      <c r="G407">
        <f t="shared" si="5"/>
        <v>-3.6</v>
      </c>
      <c r="H407">
        <v>2</v>
      </c>
    </row>
    <row r="408" spans="2:8">
      <c r="B408" s="3">
        <v>45602</v>
      </c>
      <c r="C408" t="s">
        <v>33</v>
      </c>
      <c r="D408">
        <f>VLOOKUP(C408,成本价!$C$2:$D$16,2,0)*H408</f>
        <v>2.55</v>
      </c>
      <c r="E408">
        <v>5.16</v>
      </c>
      <c r="F408">
        <v>3.5</v>
      </c>
      <c r="G408">
        <f t="shared" si="5"/>
        <v>2.61</v>
      </c>
      <c r="H408">
        <v>1.5</v>
      </c>
    </row>
    <row r="409" spans="2:8">
      <c r="B409" s="3">
        <v>45602</v>
      </c>
      <c r="C409" t="s">
        <v>27</v>
      </c>
      <c r="D409">
        <f>VLOOKUP(C409,成本价!$C$2:$D$16,2,0)*H409</f>
        <v>1.8</v>
      </c>
      <c r="E409">
        <v>6.37</v>
      </c>
      <c r="F409">
        <v>3.5</v>
      </c>
      <c r="G409">
        <f t="shared" si="5"/>
        <v>4.57</v>
      </c>
      <c r="H409">
        <v>1</v>
      </c>
    </row>
    <row r="410" spans="2:8">
      <c r="B410" s="3">
        <v>45602</v>
      </c>
      <c r="C410" t="s">
        <v>27</v>
      </c>
      <c r="D410">
        <f>VLOOKUP(C410,成本价!$C$2:$D$16,2,0)*H410</f>
        <v>1.8</v>
      </c>
      <c r="E410">
        <v>6.37</v>
      </c>
      <c r="F410">
        <v>3.5</v>
      </c>
      <c r="G410">
        <f t="shared" si="5"/>
        <v>4.57</v>
      </c>
      <c r="H410">
        <v>1</v>
      </c>
    </row>
    <row r="411" spans="2:8">
      <c r="B411" s="3">
        <v>45602</v>
      </c>
      <c r="C411" t="s">
        <v>12</v>
      </c>
      <c r="D411">
        <f>VLOOKUP(C411,成本价!$C$2:$D$16,2,0)*H411</f>
        <v>2.322</v>
      </c>
      <c r="E411">
        <v>21.14</v>
      </c>
      <c r="F411">
        <v>3.5</v>
      </c>
      <c r="G411">
        <f t="shared" si="5"/>
        <v>18.818</v>
      </c>
      <c r="H411">
        <v>6</v>
      </c>
    </row>
    <row r="412" spans="2:8">
      <c r="B412" s="3">
        <v>45602</v>
      </c>
      <c r="C412" t="s">
        <v>44</v>
      </c>
      <c r="D412">
        <f>VLOOKUP(C412,成本价!$C$2:$D$16,2,0)*H412</f>
        <v>3.176</v>
      </c>
      <c r="E412">
        <v>0</v>
      </c>
      <c r="G412">
        <f t="shared" si="5"/>
        <v>-3.176</v>
      </c>
      <c r="H412">
        <v>8</v>
      </c>
    </row>
    <row r="413" spans="2:8">
      <c r="B413" s="3">
        <v>45602</v>
      </c>
      <c r="C413" t="s">
        <v>33</v>
      </c>
      <c r="D413">
        <f>VLOOKUP(C413,成本价!$C$2:$D$16,2,0)*H413</f>
        <v>1.7</v>
      </c>
      <c r="E413">
        <v>6.37</v>
      </c>
      <c r="F413">
        <v>3.5</v>
      </c>
      <c r="G413">
        <f t="shared" si="5"/>
        <v>4.67</v>
      </c>
      <c r="H413">
        <v>1</v>
      </c>
    </row>
    <row r="414" spans="2:8">
      <c r="B414" s="3">
        <v>45602</v>
      </c>
      <c r="C414" t="s">
        <v>33</v>
      </c>
      <c r="D414">
        <f>VLOOKUP(C414,成本价!$C$2:$D$16,2,0)*H414</f>
        <v>1.7</v>
      </c>
      <c r="E414">
        <v>6.37</v>
      </c>
      <c r="F414">
        <v>3.5</v>
      </c>
      <c r="G414">
        <f t="shared" si="5"/>
        <v>4.67</v>
      </c>
      <c r="H414">
        <v>1</v>
      </c>
    </row>
    <row r="415" spans="2:8">
      <c r="B415" s="3">
        <v>45602</v>
      </c>
      <c r="C415" t="s">
        <v>16</v>
      </c>
      <c r="D415">
        <f>VLOOKUP(C415,成本价!$C$2:$D$16,2,0)*H415</f>
        <v>8.1</v>
      </c>
      <c r="E415">
        <v>25.6</v>
      </c>
      <c r="F415">
        <v>3.5</v>
      </c>
      <c r="G415">
        <f t="shared" si="5"/>
        <v>17.5</v>
      </c>
      <c r="H415">
        <v>3</v>
      </c>
    </row>
    <row r="416" spans="2:8">
      <c r="B416" s="3">
        <v>45602</v>
      </c>
      <c r="C416" t="s">
        <v>20</v>
      </c>
      <c r="D416">
        <f>VLOOKUP(C416,成本价!$C$2:$D$16,2,0)*H416</f>
        <v>6</v>
      </c>
      <c r="E416">
        <v>0</v>
      </c>
      <c r="G416">
        <f t="shared" si="5"/>
        <v>-6</v>
      </c>
      <c r="H416">
        <v>2</v>
      </c>
    </row>
    <row r="417" spans="2:8">
      <c r="B417" s="3">
        <v>45602</v>
      </c>
      <c r="C417" t="s">
        <v>12</v>
      </c>
      <c r="D417">
        <f>VLOOKUP(C417,成本价!$C$2:$D$16,2,0)*H417</f>
        <v>2.709</v>
      </c>
      <c r="E417">
        <v>11.99</v>
      </c>
      <c r="F417">
        <v>3.5</v>
      </c>
      <c r="G417">
        <f t="shared" si="5"/>
        <v>9.281</v>
      </c>
      <c r="H417">
        <v>7</v>
      </c>
    </row>
    <row r="418" spans="2:8">
      <c r="B418" s="3">
        <v>45602</v>
      </c>
      <c r="C418" t="s">
        <v>44</v>
      </c>
      <c r="D418">
        <f>VLOOKUP(C418,成本价!$C$2:$D$16,2,0)*H418</f>
        <v>1.191</v>
      </c>
      <c r="E418">
        <v>0</v>
      </c>
      <c r="G418">
        <f t="shared" si="5"/>
        <v>-1.191</v>
      </c>
      <c r="H418">
        <v>3</v>
      </c>
    </row>
    <row r="419" spans="2:8">
      <c r="B419" s="3">
        <v>45602</v>
      </c>
      <c r="C419" t="s">
        <v>33</v>
      </c>
      <c r="D419">
        <f>VLOOKUP(C419,成本价!$C$2:$D$16,2,0)*H419</f>
        <v>5.1</v>
      </c>
      <c r="E419">
        <v>13.8</v>
      </c>
      <c r="F419">
        <v>3.5</v>
      </c>
      <c r="G419">
        <f t="shared" si="5"/>
        <v>8.7</v>
      </c>
      <c r="H419">
        <v>3</v>
      </c>
    </row>
    <row r="420" spans="2:8">
      <c r="B420" s="3">
        <v>45602</v>
      </c>
      <c r="C420" t="s">
        <v>33</v>
      </c>
      <c r="D420">
        <f>VLOOKUP(C420,成本价!$C$2:$D$16,2,0)*H420</f>
        <v>3.4</v>
      </c>
      <c r="E420">
        <v>13.8</v>
      </c>
      <c r="F420">
        <v>3.5</v>
      </c>
      <c r="G420">
        <f t="shared" si="5"/>
        <v>10.4</v>
      </c>
      <c r="H420">
        <v>2</v>
      </c>
    </row>
    <row r="421" spans="2:8">
      <c r="B421" s="3">
        <v>45602</v>
      </c>
      <c r="C421" t="s">
        <v>27</v>
      </c>
      <c r="D421">
        <f>VLOOKUP(C421,成本价!$C$2:$D$16,2,0)*H421</f>
        <v>1.8</v>
      </c>
      <c r="E421">
        <v>0</v>
      </c>
      <c r="G421">
        <f t="shared" si="5"/>
        <v>-1.8</v>
      </c>
      <c r="H421">
        <v>1</v>
      </c>
    </row>
    <row r="422" spans="2:8">
      <c r="B422" s="3">
        <v>45602</v>
      </c>
      <c r="C422" t="s">
        <v>33</v>
      </c>
      <c r="D422">
        <f>VLOOKUP(C422,成本价!$C$2:$D$16,2,0)*H422</f>
        <v>5.1</v>
      </c>
      <c r="E422">
        <v>38.7</v>
      </c>
      <c r="F422">
        <v>3.5</v>
      </c>
      <c r="G422">
        <f t="shared" si="5"/>
        <v>33.6</v>
      </c>
      <c r="H422">
        <v>3</v>
      </c>
    </row>
    <row r="423" spans="2:8">
      <c r="B423" s="3">
        <v>45602</v>
      </c>
      <c r="C423" t="s">
        <v>27</v>
      </c>
      <c r="D423">
        <f>VLOOKUP(C423,成本价!$C$2:$D$16,2,0)*H423</f>
        <v>7.2</v>
      </c>
      <c r="E423">
        <v>0</v>
      </c>
      <c r="G423">
        <f t="shared" si="5"/>
        <v>-7.2</v>
      </c>
      <c r="H423">
        <v>4</v>
      </c>
    </row>
    <row r="424" spans="2:8">
      <c r="B424" s="3">
        <v>45602</v>
      </c>
      <c r="C424" s="2" t="s">
        <v>33</v>
      </c>
      <c r="D424">
        <f>VLOOKUP(C424,成本价!$C$2:$D$16,2,0)*H424</f>
        <v>3.4</v>
      </c>
      <c r="E424">
        <v>13.8</v>
      </c>
      <c r="F424">
        <v>3.5</v>
      </c>
      <c r="G424">
        <f t="shared" si="5"/>
        <v>10.4</v>
      </c>
      <c r="H424">
        <v>2</v>
      </c>
    </row>
    <row r="425" spans="2:8">
      <c r="B425" s="3">
        <v>45602</v>
      </c>
      <c r="C425" t="s">
        <v>27</v>
      </c>
      <c r="D425">
        <f>VLOOKUP(C425,成本价!$C$2:$D$16,2,0)*H425</f>
        <v>1.8</v>
      </c>
      <c r="E425">
        <v>0</v>
      </c>
      <c r="G425">
        <f t="shared" si="5"/>
        <v>-1.8</v>
      </c>
      <c r="H425">
        <v>1</v>
      </c>
    </row>
    <row r="426" spans="2:8">
      <c r="B426" s="3">
        <v>45602</v>
      </c>
      <c r="C426" t="s">
        <v>16</v>
      </c>
      <c r="D426">
        <f>VLOOKUP(C426,成本价!$C$2:$D$16,2,0)*H426</f>
        <v>5.4</v>
      </c>
      <c r="E426">
        <v>17.4</v>
      </c>
      <c r="F426">
        <v>3.5</v>
      </c>
      <c r="G426">
        <f t="shared" si="5"/>
        <v>12</v>
      </c>
      <c r="H426">
        <v>2</v>
      </c>
    </row>
    <row r="427" spans="2:8">
      <c r="B427" s="3">
        <v>45602</v>
      </c>
      <c r="C427" t="s">
        <v>20</v>
      </c>
      <c r="D427">
        <f>VLOOKUP(C427,成本价!$C$2:$D$16,2,0)*H427</f>
        <v>3</v>
      </c>
      <c r="E427">
        <v>0</v>
      </c>
      <c r="G427">
        <f t="shared" si="5"/>
        <v>-3</v>
      </c>
      <c r="H427">
        <v>1</v>
      </c>
    </row>
    <row r="428" spans="2:8">
      <c r="B428" s="3">
        <v>45602</v>
      </c>
      <c r="C428" t="s">
        <v>33</v>
      </c>
      <c r="D428">
        <f>VLOOKUP(C428,成本价!$C$2:$D$16,2,0)*H428</f>
        <v>3.4</v>
      </c>
      <c r="E428">
        <v>13.8</v>
      </c>
      <c r="F428">
        <v>3.5</v>
      </c>
      <c r="G428">
        <f t="shared" si="5"/>
        <v>10.4</v>
      </c>
      <c r="H428">
        <v>2</v>
      </c>
    </row>
    <row r="429" spans="2:8">
      <c r="B429" s="3">
        <v>45602</v>
      </c>
      <c r="C429" t="s">
        <v>27</v>
      </c>
      <c r="D429">
        <f>VLOOKUP(C429,成本价!$C$2:$D$16,2,0)*H429</f>
        <v>1.8</v>
      </c>
      <c r="E429">
        <v>0</v>
      </c>
      <c r="G429">
        <f t="shared" si="5"/>
        <v>-1.8</v>
      </c>
      <c r="H429">
        <v>1</v>
      </c>
    </row>
    <row r="430" spans="2:8">
      <c r="B430" s="3">
        <v>45602</v>
      </c>
      <c r="C430" t="s">
        <v>12</v>
      </c>
      <c r="D430">
        <f>VLOOKUP(C430,成本价!$C$2:$D$16,2,0)*H430</f>
        <v>1.548</v>
      </c>
      <c r="E430">
        <v>11.57</v>
      </c>
      <c r="F430">
        <v>3.5</v>
      </c>
      <c r="G430">
        <f t="shared" si="5"/>
        <v>10.022</v>
      </c>
      <c r="H430">
        <v>4</v>
      </c>
    </row>
    <row r="431" spans="2:8">
      <c r="B431" s="3">
        <v>45602</v>
      </c>
      <c r="C431" t="s">
        <v>44</v>
      </c>
      <c r="D431">
        <f>VLOOKUP(C431,成本价!$C$2:$D$16,2,0)*H431</f>
        <v>1.588</v>
      </c>
      <c r="E431">
        <v>0</v>
      </c>
      <c r="G431">
        <f t="shared" si="5"/>
        <v>-1.588</v>
      </c>
      <c r="H431">
        <v>4</v>
      </c>
    </row>
    <row r="432" spans="2:8">
      <c r="B432" s="3">
        <v>45602</v>
      </c>
      <c r="C432" t="s">
        <v>23</v>
      </c>
      <c r="D432">
        <f>VLOOKUP(C432,成本价!$C$2:$D$16,2,0)*H432</f>
        <v>3.12</v>
      </c>
      <c r="E432">
        <v>6.32</v>
      </c>
      <c r="F432">
        <v>3.5</v>
      </c>
      <c r="G432">
        <f t="shared" si="5"/>
        <v>3.2</v>
      </c>
      <c r="H432">
        <v>1.5</v>
      </c>
    </row>
    <row r="433" spans="2:8">
      <c r="B433" s="3">
        <v>45602</v>
      </c>
      <c r="C433" t="s">
        <v>33</v>
      </c>
      <c r="D433">
        <f>VLOOKUP(C433,成本价!$C$2:$D$16,2,0)*H433</f>
        <v>1.7</v>
      </c>
      <c r="E433">
        <v>27.8</v>
      </c>
      <c r="F433">
        <v>3.5</v>
      </c>
      <c r="G433">
        <f t="shared" si="5"/>
        <v>26.1</v>
      </c>
      <c r="H433">
        <v>1</v>
      </c>
    </row>
    <row r="434" spans="2:8">
      <c r="B434" s="3">
        <v>45602</v>
      </c>
      <c r="C434" t="s">
        <v>27</v>
      </c>
      <c r="D434">
        <f>VLOOKUP(C434,成本价!$C$2:$D$16,2,0)*H434</f>
        <v>7.2</v>
      </c>
      <c r="E434">
        <v>0</v>
      </c>
      <c r="G434">
        <f t="shared" si="5"/>
        <v>-7.2</v>
      </c>
      <c r="H434">
        <v>4</v>
      </c>
    </row>
    <row r="435" spans="2:8">
      <c r="B435" s="3">
        <v>45602</v>
      </c>
      <c r="C435" t="s">
        <v>33</v>
      </c>
      <c r="D435">
        <f>VLOOKUP(C435,成本价!$C$2:$D$16,2,0)*H435</f>
        <v>1.7</v>
      </c>
      <c r="E435">
        <v>5.37</v>
      </c>
      <c r="F435">
        <v>3.5</v>
      </c>
      <c r="G435">
        <f t="shared" si="5"/>
        <v>3.67</v>
      </c>
      <c r="H435">
        <v>1</v>
      </c>
    </row>
    <row r="436" spans="2:8">
      <c r="B436" s="3">
        <v>45602</v>
      </c>
      <c r="C436" t="s">
        <v>27</v>
      </c>
      <c r="D436">
        <f>VLOOKUP(C436,成本价!$C$2:$D$16,2,0)*H436</f>
        <v>2.7</v>
      </c>
      <c r="E436">
        <v>5.36</v>
      </c>
      <c r="F436">
        <v>3.5</v>
      </c>
      <c r="G436">
        <f t="shared" si="5"/>
        <v>2.66</v>
      </c>
      <c r="H436">
        <v>1.5</v>
      </c>
    </row>
    <row r="437" spans="2:8">
      <c r="B437" s="3">
        <v>45602</v>
      </c>
      <c r="C437" t="s">
        <v>12</v>
      </c>
      <c r="D437">
        <f>VLOOKUP(C437,成本价!$C$2:$D$16,2,0)*H437</f>
        <v>1.548</v>
      </c>
      <c r="E437">
        <v>11.57</v>
      </c>
      <c r="F437">
        <v>3.5</v>
      </c>
      <c r="G437">
        <f t="shared" si="5"/>
        <v>10.022</v>
      </c>
      <c r="H437">
        <v>4</v>
      </c>
    </row>
    <row r="438" spans="2:8">
      <c r="B438" s="3">
        <v>45602</v>
      </c>
      <c r="C438" t="s">
        <v>44</v>
      </c>
      <c r="D438">
        <f>VLOOKUP(C438,成本价!$C$2:$D$16,2,0)*H438</f>
        <v>1.588</v>
      </c>
      <c r="E438">
        <v>0</v>
      </c>
      <c r="G438">
        <f t="shared" si="5"/>
        <v>-1.588</v>
      </c>
      <c r="H438">
        <v>4</v>
      </c>
    </row>
    <row r="439" spans="2:8">
      <c r="B439" s="3">
        <v>45602</v>
      </c>
      <c r="C439" t="s">
        <v>33</v>
      </c>
      <c r="D439">
        <f>VLOOKUP(C439,成本价!$C$2:$D$16,2,0)*H439</f>
        <v>1.7</v>
      </c>
      <c r="E439">
        <v>27.8</v>
      </c>
      <c r="F439">
        <v>3.5</v>
      </c>
      <c r="G439">
        <f t="shared" si="5"/>
        <v>26.1</v>
      </c>
      <c r="H439">
        <v>1</v>
      </c>
    </row>
    <row r="440" spans="2:8">
      <c r="B440" s="3">
        <v>45602</v>
      </c>
      <c r="C440" t="s">
        <v>27</v>
      </c>
      <c r="D440">
        <f>VLOOKUP(C440,成本价!$C$2:$D$16,2,0)*H440</f>
        <v>7.2</v>
      </c>
      <c r="E440">
        <v>0</v>
      </c>
      <c r="G440">
        <f t="shared" si="5"/>
        <v>-7.2</v>
      </c>
      <c r="H440">
        <v>4</v>
      </c>
    </row>
    <row r="441" spans="2:8">
      <c r="B441" s="3">
        <v>45602</v>
      </c>
      <c r="C441" t="s">
        <v>36</v>
      </c>
      <c r="D441">
        <f>VLOOKUP(C441,成本价!$C$2:$D$16,2,0)*H441</f>
        <v>4.64</v>
      </c>
      <c r="E441">
        <v>18.26</v>
      </c>
      <c r="F441">
        <v>3.5</v>
      </c>
      <c r="G441">
        <f t="shared" si="5"/>
        <v>13.62</v>
      </c>
      <c r="H441">
        <v>2</v>
      </c>
    </row>
    <row r="442" spans="2:8">
      <c r="B442" s="3">
        <v>45602</v>
      </c>
      <c r="C442" t="s">
        <v>37</v>
      </c>
      <c r="D442">
        <f>VLOOKUP(C442,成本价!$C$2:$D$16,2,0)*H442</f>
        <v>2.54</v>
      </c>
      <c r="G442">
        <f t="shared" si="5"/>
        <v>-2.54</v>
      </c>
      <c r="H442">
        <v>1</v>
      </c>
    </row>
    <row r="443" spans="2:8">
      <c r="B443" s="3">
        <v>45602</v>
      </c>
      <c r="C443" t="s">
        <v>23</v>
      </c>
      <c r="D443">
        <f>VLOOKUP(C443,成本价!$C$2:$D$16,2,0)*H443</f>
        <v>2.08</v>
      </c>
      <c r="E443">
        <v>13.05</v>
      </c>
      <c r="F443">
        <v>3.5</v>
      </c>
      <c r="G443">
        <f t="shared" si="5"/>
        <v>10.97</v>
      </c>
      <c r="H443">
        <v>1</v>
      </c>
    </row>
    <row r="444" spans="2:8">
      <c r="B444" s="3">
        <v>45602</v>
      </c>
      <c r="C444" t="s">
        <v>28</v>
      </c>
      <c r="D444">
        <f>VLOOKUP(C444,成本价!$C$2:$D$16,2,0)*H444</f>
        <v>4.44</v>
      </c>
      <c r="G444">
        <f t="shared" si="5"/>
        <v>-4.44</v>
      </c>
      <c r="H444">
        <v>2</v>
      </c>
    </row>
    <row r="445" spans="2:9">
      <c r="B445" s="3">
        <v>45602</v>
      </c>
      <c r="I445">
        <f>186.12-26.48+35.94+36.57</f>
        <v>232.15</v>
      </c>
    </row>
    <row r="446" spans="2:8">
      <c r="B446" s="29">
        <v>45603</v>
      </c>
      <c r="C446" t="s">
        <v>33</v>
      </c>
      <c r="D446">
        <f>VLOOKUP(C446,成本价!$C$2:$D$16,2,0)*H446</f>
        <v>3.4</v>
      </c>
      <c r="E446">
        <v>13.8</v>
      </c>
      <c r="F446">
        <v>3.5</v>
      </c>
      <c r="G446">
        <f t="shared" ref="G446:G453" si="6">E446-D446</f>
        <v>10.4</v>
      </c>
      <c r="H446">
        <v>2</v>
      </c>
    </row>
    <row r="447" spans="2:8">
      <c r="B447" s="3">
        <v>45603</v>
      </c>
      <c r="C447" t="s">
        <v>27</v>
      </c>
      <c r="D447">
        <f>VLOOKUP(C447,成本价!$C$2:$D$16,2,0)*H447</f>
        <v>1.8</v>
      </c>
      <c r="E447">
        <v>0</v>
      </c>
      <c r="G447">
        <f t="shared" si="6"/>
        <v>-1.8</v>
      </c>
      <c r="H447">
        <v>1</v>
      </c>
    </row>
    <row r="448" spans="2:8">
      <c r="B448" s="3">
        <v>45603</v>
      </c>
      <c r="C448" t="s">
        <v>33</v>
      </c>
      <c r="D448">
        <f>VLOOKUP(C448,成本价!$C$2:$D$16,2,0)*H448</f>
        <v>2.55</v>
      </c>
      <c r="E448">
        <v>5.36</v>
      </c>
      <c r="F448">
        <v>3.5</v>
      </c>
      <c r="G448">
        <f t="shared" si="6"/>
        <v>2.81</v>
      </c>
      <c r="H448">
        <v>1.5</v>
      </c>
    </row>
    <row r="449" spans="2:8">
      <c r="B449" s="3">
        <v>45603</v>
      </c>
      <c r="C449" t="s">
        <v>33</v>
      </c>
      <c r="D449">
        <f>VLOOKUP(C449,成本价!$C$2:$D$16,2,0)*H449</f>
        <v>5.1</v>
      </c>
      <c r="E449">
        <v>12.8</v>
      </c>
      <c r="F449">
        <v>3.5</v>
      </c>
      <c r="G449">
        <f t="shared" si="6"/>
        <v>7.7</v>
      </c>
      <c r="H449">
        <v>3</v>
      </c>
    </row>
    <row r="450" spans="2:8">
      <c r="B450" s="3">
        <v>45603</v>
      </c>
      <c r="C450" t="s">
        <v>12</v>
      </c>
      <c r="D450">
        <f>VLOOKUP(C450,成本价!$C$2:$D$16,2,0)*H450</f>
        <v>3.87</v>
      </c>
      <c r="E450">
        <v>11.99</v>
      </c>
      <c r="F450">
        <v>3.5</v>
      </c>
      <c r="G450">
        <f t="shared" si="6"/>
        <v>8.12</v>
      </c>
      <c r="H450">
        <v>10</v>
      </c>
    </row>
    <row r="451" spans="2:8">
      <c r="B451" s="3">
        <v>45603</v>
      </c>
      <c r="C451" t="s">
        <v>33</v>
      </c>
      <c r="D451">
        <f>VLOOKUP(C451,成本价!$C$2:$D$16,2,0)*H451</f>
        <v>5.1</v>
      </c>
      <c r="E451">
        <v>38.7</v>
      </c>
      <c r="F451">
        <v>3.5</v>
      </c>
      <c r="G451">
        <f t="shared" si="6"/>
        <v>33.6</v>
      </c>
      <c r="H451">
        <v>3</v>
      </c>
    </row>
    <row r="452" spans="2:8">
      <c r="B452" s="3">
        <v>45603</v>
      </c>
      <c r="C452" t="s">
        <v>27</v>
      </c>
      <c r="D452">
        <f>VLOOKUP(C452,成本价!$C$2:$D$16,2,0)*H452</f>
        <v>7.2</v>
      </c>
      <c r="E452">
        <v>0</v>
      </c>
      <c r="G452">
        <f t="shared" si="6"/>
        <v>-7.2</v>
      </c>
      <c r="H452">
        <v>4</v>
      </c>
    </row>
    <row r="453" spans="2:8">
      <c r="B453" s="3">
        <v>45603</v>
      </c>
      <c r="C453" t="s">
        <v>12</v>
      </c>
      <c r="D453">
        <f>VLOOKUP(C453,成本价!$C$2:$D$16,2,0)*H453</f>
        <v>1.548</v>
      </c>
      <c r="E453">
        <v>11.57</v>
      </c>
      <c r="F453">
        <v>3.5</v>
      </c>
      <c r="G453">
        <f t="shared" si="6"/>
        <v>10.022</v>
      </c>
      <c r="H453">
        <v>4</v>
      </c>
    </row>
    <row r="454" spans="2:8">
      <c r="B454" s="3">
        <v>45603</v>
      </c>
      <c r="C454" t="s">
        <v>44</v>
      </c>
      <c r="D454">
        <f>VLOOKUP(C454,成本价!$C$2:$D$16,2,0)*H454</f>
        <v>1.588</v>
      </c>
      <c r="E454">
        <v>0</v>
      </c>
      <c r="G454">
        <f t="shared" ref="G454:G521" si="7">E454-D454</f>
        <v>-1.588</v>
      </c>
      <c r="H454">
        <v>4</v>
      </c>
    </row>
    <row r="455" spans="2:8">
      <c r="B455" s="3">
        <v>45603</v>
      </c>
      <c r="C455" t="s">
        <v>12</v>
      </c>
      <c r="D455">
        <f>VLOOKUP(C455,成本价!$C$2:$D$16,2,0)*H455</f>
        <v>0.774</v>
      </c>
      <c r="E455">
        <v>8.79</v>
      </c>
      <c r="F455">
        <v>3.5</v>
      </c>
      <c r="G455">
        <f t="shared" si="7"/>
        <v>8.016</v>
      </c>
      <c r="H455">
        <v>2</v>
      </c>
    </row>
    <row r="456" spans="2:8">
      <c r="B456" s="3">
        <v>45603</v>
      </c>
      <c r="C456" t="s">
        <v>44</v>
      </c>
      <c r="D456">
        <f>VLOOKUP(C456,成本价!$C$2:$D$16,2,0)*H456</f>
        <v>0.397</v>
      </c>
      <c r="E456">
        <v>0</v>
      </c>
      <c r="G456">
        <f t="shared" si="7"/>
        <v>-0.397</v>
      </c>
      <c r="H456">
        <v>1</v>
      </c>
    </row>
    <row r="457" spans="2:8">
      <c r="B457" s="3">
        <v>45603</v>
      </c>
      <c r="C457" t="s">
        <v>12</v>
      </c>
      <c r="D457">
        <f>VLOOKUP(C457,成本价!$C$2:$D$16,2,0)*H457</f>
        <v>1.548</v>
      </c>
      <c r="E457">
        <v>16.49</v>
      </c>
      <c r="F457">
        <v>3.5</v>
      </c>
      <c r="G457">
        <f t="shared" si="7"/>
        <v>14.942</v>
      </c>
      <c r="H457">
        <v>4</v>
      </c>
    </row>
    <row r="458" spans="2:8">
      <c r="B458" s="3">
        <v>45603</v>
      </c>
      <c r="C458" t="s">
        <v>44</v>
      </c>
      <c r="D458">
        <f>VLOOKUP(C458,成本价!$C$2:$D$16,2,0)*H458</f>
        <v>4.764</v>
      </c>
      <c r="E458">
        <v>0</v>
      </c>
      <c r="G458">
        <f t="shared" si="7"/>
        <v>-4.764</v>
      </c>
      <c r="H458">
        <v>12</v>
      </c>
    </row>
    <row r="459" spans="2:8">
      <c r="B459" s="3">
        <v>45603</v>
      </c>
      <c r="C459" t="s">
        <v>12</v>
      </c>
      <c r="D459">
        <f>VLOOKUP(C459,成本价!$C$2:$D$16,2,0)*H459</f>
        <v>1.548</v>
      </c>
      <c r="E459">
        <v>11.57</v>
      </c>
      <c r="F459">
        <v>3.5</v>
      </c>
      <c r="G459">
        <f t="shared" si="7"/>
        <v>10.022</v>
      </c>
      <c r="H459">
        <v>4</v>
      </c>
    </row>
    <row r="460" spans="2:8">
      <c r="B460" s="3">
        <v>45603</v>
      </c>
      <c r="C460" t="s">
        <v>44</v>
      </c>
      <c r="D460">
        <f>VLOOKUP(C460,成本价!$C$2:$D$16,2,0)*H460</f>
        <v>1.588</v>
      </c>
      <c r="E460">
        <v>0</v>
      </c>
      <c r="G460">
        <f t="shared" si="7"/>
        <v>-1.588</v>
      </c>
      <c r="H460">
        <v>4</v>
      </c>
    </row>
    <row r="461" spans="2:8">
      <c r="B461" s="3">
        <v>45603</v>
      </c>
      <c r="C461" t="s">
        <v>40</v>
      </c>
      <c r="D461">
        <f>VLOOKUP(C461,成本价!$C$2:$D$16,2,0)*H461</f>
        <v>5.64</v>
      </c>
      <c r="E461">
        <v>40.5</v>
      </c>
      <c r="F461">
        <v>3.5</v>
      </c>
      <c r="G461">
        <f t="shared" si="7"/>
        <v>34.86</v>
      </c>
      <c r="H461">
        <v>3</v>
      </c>
    </row>
    <row r="462" spans="2:8">
      <c r="B462" s="3">
        <v>45603</v>
      </c>
      <c r="C462" t="s">
        <v>43</v>
      </c>
      <c r="D462">
        <f>VLOOKUP(C462,成本价!$C$2:$D$16,2,0)*H462</f>
        <v>8.08</v>
      </c>
      <c r="E462">
        <v>0</v>
      </c>
      <c r="G462">
        <f t="shared" si="7"/>
        <v>-8.08</v>
      </c>
      <c r="H462">
        <v>4</v>
      </c>
    </row>
    <row r="463" spans="2:8">
      <c r="B463" s="3">
        <v>45603</v>
      </c>
      <c r="C463" t="s">
        <v>16</v>
      </c>
      <c r="D463">
        <f>VLOOKUP(C463,成本价!$C$2:$D$16,2,0)*H463</f>
        <v>5.4</v>
      </c>
      <c r="E463">
        <v>17.4</v>
      </c>
      <c r="F463">
        <v>3.5</v>
      </c>
      <c r="G463">
        <f t="shared" si="7"/>
        <v>12</v>
      </c>
      <c r="H463">
        <v>2</v>
      </c>
    </row>
    <row r="464" spans="2:8">
      <c r="B464" s="3">
        <v>45603</v>
      </c>
      <c r="C464" t="s">
        <v>20</v>
      </c>
      <c r="D464">
        <f>VLOOKUP(C464,成本价!$C$2:$D$16,2,0)*H464</f>
        <v>3</v>
      </c>
      <c r="E464">
        <v>0</v>
      </c>
      <c r="G464">
        <f t="shared" si="7"/>
        <v>-3</v>
      </c>
      <c r="H464">
        <v>1</v>
      </c>
    </row>
    <row r="465" spans="2:8">
      <c r="B465" s="3">
        <v>45603</v>
      </c>
      <c r="C465" t="s">
        <v>40</v>
      </c>
      <c r="D465">
        <f>VLOOKUP(C465,成本价!$C$2:$D$16,2,0)*H465</f>
        <v>2.82</v>
      </c>
      <c r="E465">
        <v>6.51</v>
      </c>
      <c r="F465">
        <v>3.5</v>
      </c>
      <c r="G465">
        <f t="shared" si="7"/>
        <v>3.69</v>
      </c>
      <c r="H465">
        <v>1.5</v>
      </c>
    </row>
    <row r="466" spans="2:8">
      <c r="B466" s="3">
        <v>45603</v>
      </c>
      <c r="C466" t="s">
        <v>33</v>
      </c>
      <c r="D466">
        <f>VLOOKUP(C466,成本价!$C$2:$D$16,2,0)*H466</f>
        <v>3.4</v>
      </c>
      <c r="E466">
        <v>13.8</v>
      </c>
      <c r="F466">
        <v>3.5</v>
      </c>
      <c r="G466">
        <f t="shared" si="7"/>
        <v>10.4</v>
      </c>
      <c r="H466">
        <v>2</v>
      </c>
    </row>
    <row r="467" spans="2:8">
      <c r="B467" s="3">
        <v>45603</v>
      </c>
      <c r="C467" t="s">
        <v>27</v>
      </c>
      <c r="D467">
        <f>VLOOKUP(C467,成本价!$C$2:$D$16,2,0)*H467</f>
        <v>1.8</v>
      </c>
      <c r="E467">
        <v>0</v>
      </c>
      <c r="G467">
        <f t="shared" si="7"/>
        <v>-1.8</v>
      </c>
      <c r="H467">
        <v>1</v>
      </c>
    </row>
    <row r="468" spans="2:8">
      <c r="B468" s="3">
        <v>45603</v>
      </c>
      <c r="C468" t="s">
        <v>33</v>
      </c>
      <c r="D468">
        <f>VLOOKUP(C468,成本价!$C$2:$D$16,2,0)*H468</f>
        <v>1.7</v>
      </c>
      <c r="E468">
        <v>13.8</v>
      </c>
      <c r="F468">
        <v>3.5</v>
      </c>
      <c r="G468">
        <f t="shared" si="7"/>
        <v>12.1</v>
      </c>
      <c r="H468">
        <v>1</v>
      </c>
    </row>
    <row r="469" spans="2:8">
      <c r="B469" s="3">
        <v>45603</v>
      </c>
      <c r="C469" t="s">
        <v>27</v>
      </c>
      <c r="D469">
        <f>VLOOKUP(C469,成本价!$C$2:$D$16,2,0)*H469</f>
        <v>3.6</v>
      </c>
      <c r="E469">
        <v>0</v>
      </c>
      <c r="G469">
        <f t="shared" si="7"/>
        <v>-3.6</v>
      </c>
      <c r="H469">
        <v>2</v>
      </c>
    </row>
    <row r="470" spans="2:8">
      <c r="B470" s="3">
        <v>45603</v>
      </c>
      <c r="C470" t="s">
        <v>12</v>
      </c>
      <c r="D470">
        <f>VLOOKUP(C470,成本价!$C$2:$D$16,2,0)*H470</f>
        <v>1.161</v>
      </c>
      <c r="E470">
        <v>10.48</v>
      </c>
      <c r="F470">
        <v>3.5</v>
      </c>
      <c r="G470">
        <f t="shared" si="7"/>
        <v>9.319</v>
      </c>
      <c r="H470">
        <v>3</v>
      </c>
    </row>
    <row r="471" spans="2:8">
      <c r="B471" s="3">
        <v>45603</v>
      </c>
      <c r="C471" t="s">
        <v>44</v>
      </c>
      <c r="D471">
        <f>VLOOKUP(C471,成本价!$C$2:$D$16,2,0)*H471</f>
        <v>0.794</v>
      </c>
      <c r="E471">
        <v>0</v>
      </c>
      <c r="G471">
        <f t="shared" si="7"/>
        <v>-0.794</v>
      </c>
      <c r="H471">
        <v>2</v>
      </c>
    </row>
    <row r="472" spans="2:8">
      <c r="B472" s="3">
        <v>45603</v>
      </c>
      <c r="C472" t="s">
        <v>12</v>
      </c>
      <c r="D472">
        <f>VLOOKUP(C472,成本价!$C$2:$D$16,2,0)*H472</f>
        <v>1.548</v>
      </c>
      <c r="E472">
        <v>11.4</v>
      </c>
      <c r="F472">
        <v>3.5</v>
      </c>
      <c r="G472">
        <f t="shared" si="7"/>
        <v>9.852</v>
      </c>
      <c r="H472">
        <v>4</v>
      </c>
    </row>
    <row r="473" spans="2:8">
      <c r="B473" s="3">
        <v>45603</v>
      </c>
      <c r="C473" t="s">
        <v>44</v>
      </c>
      <c r="D473">
        <f>VLOOKUP(C473,成本价!$C$2:$D$16,2,0)*H473</f>
        <v>1.588</v>
      </c>
      <c r="E473">
        <v>0</v>
      </c>
      <c r="G473">
        <f t="shared" si="7"/>
        <v>-1.588</v>
      </c>
      <c r="H473">
        <v>4</v>
      </c>
    </row>
    <row r="474" spans="2:8">
      <c r="B474" s="3">
        <v>45603</v>
      </c>
      <c r="C474" t="s">
        <v>33</v>
      </c>
      <c r="D474">
        <f>VLOOKUP(C474,成本价!$C$2:$D$16,2,0)*H474</f>
        <v>1.7</v>
      </c>
      <c r="E474">
        <v>13.8</v>
      </c>
      <c r="F474">
        <v>3.5</v>
      </c>
      <c r="G474">
        <f t="shared" si="7"/>
        <v>12.1</v>
      </c>
      <c r="H474">
        <v>1</v>
      </c>
    </row>
    <row r="475" spans="2:8">
      <c r="B475" s="3">
        <v>45603</v>
      </c>
      <c r="C475" t="s">
        <v>27</v>
      </c>
      <c r="D475">
        <f>VLOOKUP(C475,成本价!$C$2:$D$16,2,0)*H475</f>
        <v>3.6</v>
      </c>
      <c r="E475">
        <v>0</v>
      </c>
      <c r="G475">
        <f t="shared" si="7"/>
        <v>-3.6</v>
      </c>
      <c r="H475">
        <v>2</v>
      </c>
    </row>
    <row r="476" spans="2:8">
      <c r="B476" s="3">
        <v>45603</v>
      </c>
      <c r="C476" t="s">
        <v>33</v>
      </c>
      <c r="D476">
        <f>VLOOKUP(C476,成本价!$C$2:$D$16,2,0)*H476</f>
        <v>1.7</v>
      </c>
      <c r="E476">
        <v>6.37</v>
      </c>
      <c r="F476">
        <v>3.5</v>
      </c>
      <c r="G476">
        <f t="shared" si="7"/>
        <v>4.67</v>
      </c>
      <c r="H476">
        <v>1</v>
      </c>
    </row>
    <row r="477" spans="2:8">
      <c r="B477" s="3">
        <v>45603</v>
      </c>
      <c r="C477" t="s">
        <v>40</v>
      </c>
      <c r="D477">
        <f>VLOOKUP(C477,成本价!$C$2:$D$16,2,0)*H477</f>
        <v>1.88</v>
      </c>
      <c r="E477">
        <v>6.52</v>
      </c>
      <c r="F477">
        <v>3.5</v>
      </c>
      <c r="G477">
        <f t="shared" si="7"/>
        <v>4.64</v>
      </c>
      <c r="H477">
        <v>1</v>
      </c>
    </row>
    <row r="478" spans="2:8">
      <c r="B478" s="3">
        <v>45603</v>
      </c>
      <c r="C478" t="s">
        <v>33</v>
      </c>
      <c r="D478">
        <f>VLOOKUP(C478,成本价!$C$2:$D$16,2,0)*H478</f>
        <v>1.7</v>
      </c>
      <c r="E478">
        <v>5.37</v>
      </c>
      <c r="F478">
        <v>3.5</v>
      </c>
      <c r="G478">
        <f t="shared" si="7"/>
        <v>3.67</v>
      </c>
      <c r="H478">
        <v>1</v>
      </c>
    </row>
    <row r="479" spans="2:8">
      <c r="B479" s="3">
        <v>45603</v>
      </c>
      <c r="C479" t="s">
        <v>33</v>
      </c>
      <c r="D479">
        <f>VLOOKUP(C479,成本价!$C$2:$D$16,2,0)*H479</f>
        <v>5.1</v>
      </c>
      <c r="E479">
        <v>13.8</v>
      </c>
      <c r="F479">
        <v>3.5</v>
      </c>
      <c r="G479">
        <f t="shared" si="7"/>
        <v>8.7</v>
      </c>
      <c r="H479">
        <v>3</v>
      </c>
    </row>
    <row r="480" spans="2:8">
      <c r="B480" s="3">
        <v>45603</v>
      </c>
      <c r="C480" t="s">
        <v>16</v>
      </c>
      <c r="D480">
        <f>VLOOKUP(C480,成本价!$C$2:$D$16,2,0)*H480</f>
        <v>5.4</v>
      </c>
      <c r="E480">
        <v>18.24</v>
      </c>
      <c r="F480">
        <v>3.5</v>
      </c>
      <c r="G480">
        <f t="shared" si="7"/>
        <v>12.84</v>
      </c>
      <c r="H480">
        <v>2</v>
      </c>
    </row>
    <row r="481" spans="2:8">
      <c r="B481" s="3">
        <v>45603</v>
      </c>
      <c r="C481" t="s">
        <v>20</v>
      </c>
      <c r="D481">
        <f>VLOOKUP(C481,成本价!$C$2:$D$16,2,0)*H481</f>
        <v>3</v>
      </c>
      <c r="E481">
        <v>0</v>
      </c>
      <c r="G481">
        <f t="shared" si="7"/>
        <v>-3</v>
      </c>
      <c r="H481">
        <v>1</v>
      </c>
    </row>
    <row r="482" spans="2:8">
      <c r="B482" s="3">
        <v>45603</v>
      </c>
      <c r="C482" t="s">
        <v>16</v>
      </c>
      <c r="D482">
        <f>VLOOKUP(C482,成本价!$C$2:$D$16,2,0)*H482</f>
        <v>5.4</v>
      </c>
      <c r="E482">
        <v>17.24</v>
      </c>
      <c r="F482">
        <v>3.5</v>
      </c>
      <c r="G482">
        <f t="shared" si="7"/>
        <v>11.84</v>
      </c>
      <c r="H482">
        <v>2</v>
      </c>
    </row>
    <row r="483" spans="2:8">
      <c r="B483" s="3">
        <v>45603</v>
      </c>
      <c r="C483" t="s">
        <v>20</v>
      </c>
      <c r="D483">
        <f>VLOOKUP(C483,成本价!$C$2:$D$16,2,0)*H483</f>
        <v>3</v>
      </c>
      <c r="E483">
        <v>0</v>
      </c>
      <c r="G483">
        <f t="shared" si="7"/>
        <v>-3</v>
      </c>
      <c r="H483">
        <v>1</v>
      </c>
    </row>
    <row r="484" spans="2:8">
      <c r="B484" s="3">
        <v>45603</v>
      </c>
      <c r="C484" t="s">
        <v>16</v>
      </c>
      <c r="D484">
        <f>VLOOKUP(C484,成本价!$C$2:$D$16,2,0)*H484</f>
        <v>2.7</v>
      </c>
      <c r="E484">
        <v>27.49</v>
      </c>
      <c r="F484">
        <v>3.5</v>
      </c>
      <c r="G484">
        <f t="shared" si="7"/>
        <v>24.79</v>
      </c>
      <c r="H484">
        <v>1</v>
      </c>
    </row>
    <row r="485" spans="2:8">
      <c r="B485" s="3">
        <v>45603</v>
      </c>
      <c r="C485" t="s">
        <v>20</v>
      </c>
      <c r="D485">
        <f>VLOOKUP(C485,成本价!$C$2:$D$16,2,0)*H485</f>
        <v>12</v>
      </c>
      <c r="E485">
        <v>0</v>
      </c>
      <c r="G485">
        <f t="shared" si="7"/>
        <v>-12</v>
      </c>
      <c r="H485">
        <v>4</v>
      </c>
    </row>
    <row r="486" spans="2:8">
      <c r="B486" s="3">
        <v>45603</v>
      </c>
      <c r="C486" t="s">
        <v>23</v>
      </c>
      <c r="D486">
        <f>VLOOKUP(C486,成本价!$C$2:$D$16,2,0)*H486</f>
        <v>6.24</v>
      </c>
      <c r="E486">
        <v>25.39</v>
      </c>
      <c r="F486">
        <v>3.5</v>
      </c>
      <c r="G486">
        <f t="shared" si="7"/>
        <v>19.15</v>
      </c>
      <c r="H486">
        <v>3</v>
      </c>
    </row>
    <row r="487" spans="2:8">
      <c r="B487" s="3">
        <v>45603</v>
      </c>
      <c r="C487" t="s">
        <v>28</v>
      </c>
      <c r="D487">
        <f>VLOOKUP(C487,成本价!$C$2:$D$16,2,0)*H487</f>
        <v>4.44</v>
      </c>
      <c r="G487">
        <f t="shared" si="7"/>
        <v>-4.44</v>
      </c>
      <c r="H487">
        <v>2</v>
      </c>
    </row>
    <row r="488" spans="2:8">
      <c r="B488" s="3">
        <v>45603</v>
      </c>
      <c r="C488" t="s">
        <v>23</v>
      </c>
      <c r="D488">
        <f>VLOOKUP(C488,成本价!$C$2:$D$16,2,0)*H488</f>
        <v>2.08</v>
      </c>
      <c r="E488">
        <v>16.92</v>
      </c>
      <c r="F488">
        <v>3.5</v>
      </c>
      <c r="G488">
        <f t="shared" si="7"/>
        <v>14.84</v>
      </c>
      <c r="H488">
        <v>1</v>
      </c>
    </row>
    <row r="489" spans="2:8">
      <c r="B489" s="3">
        <v>45603</v>
      </c>
      <c r="C489" t="s">
        <v>28</v>
      </c>
      <c r="D489">
        <f>VLOOKUP(C489,成本价!$C$2:$D$16,2,0)*H489</f>
        <v>4.44</v>
      </c>
      <c r="G489">
        <f t="shared" si="7"/>
        <v>-4.44</v>
      </c>
      <c r="H489">
        <v>2</v>
      </c>
    </row>
    <row r="490" spans="2:8">
      <c r="B490" s="3">
        <v>45603</v>
      </c>
      <c r="C490" t="s">
        <v>23</v>
      </c>
      <c r="D490">
        <f>VLOOKUP(C490,成本价!$C$2:$D$16,2,0)*H490</f>
        <v>2.08</v>
      </c>
      <c r="E490">
        <v>13.63</v>
      </c>
      <c r="F490">
        <v>3.5</v>
      </c>
      <c r="G490">
        <f t="shared" si="7"/>
        <v>11.55</v>
      </c>
      <c r="H490">
        <v>1</v>
      </c>
    </row>
    <row r="491" spans="2:8">
      <c r="B491" s="3">
        <v>45603</v>
      </c>
      <c r="C491" t="s">
        <v>28</v>
      </c>
      <c r="D491">
        <f>VLOOKUP(C491,成本价!$C$2:$D$16,2,0)*H491</f>
        <v>2.22</v>
      </c>
      <c r="G491">
        <f t="shared" si="7"/>
        <v>-2.22</v>
      </c>
      <c r="H491">
        <v>1</v>
      </c>
    </row>
    <row r="492" spans="2:9">
      <c r="B492" s="3">
        <v>45603</v>
      </c>
      <c r="I492">
        <f>187.76-15.58+26.48</f>
        <v>198.66</v>
      </c>
    </row>
    <row r="493" spans="2:8">
      <c r="B493" s="29">
        <v>45604</v>
      </c>
      <c r="C493" t="s">
        <v>12</v>
      </c>
      <c r="D493">
        <f>VLOOKUP(C493,成本价!$C$2:$D$16,2,0)*H493</f>
        <v>0.774</v>
      </c>
      <c r="E493">
        <v>10.7</v>
      </c>
      <c r="F493">
        <v>3.5</v>
      </c>
      <c r="G493">
        <f t="shared" si="7"/>
        <v>9.926</v>
      </c>
      <c r="H493">
        <v>2</v>
      </c>
    </row>
    <row r="494" spans="2:8">
      <c r="B494" s="3">
        <v>45604</v>
      </c>
      <c r="C494" t="s">
        <v>44</v>
      </c>
      <c r="D494">
        <f>VLOOKUP(C494,成本价!$C$2:$D$16,2,0)*H494</f>
        <v>1.588</v>
      </c>
      <c r="E494">
        <v>0</v>
      </c>
      <c r="G494">
        <f t="shared" si="7"/>
        <v>-1.588</v>
      </c>
      <c r="H494">
        <v>4</v>
      </c>
    </row>
    <row r="495" spans="2:8">
      <c r="B495" s="3">
        <v>45604</v>
      </c>
      <c r="C495" t="s">
        <v>12</v>
      </c>
      <c r="D495">
        <f>VLOOKUP(C495,成本价!$C$2:$D$16,2,0)*H495</f>
        <v>2.709</v>
      </c>
      <c r="E495">
        <v>13.55</v>
      </c>
      <c r="F495">
        <v>3.5</v>
      </c>
      <c r="G495">
        <f t="shared" si="7"/>
        <v>10.841</v>
      </c>
      <c r="H495">
        <v>7</v>
      </c>
    </row>
    <row r="496" spans="2:8">
      <c r="B496" s="3">
        <v>45604</v>
      </c>
      <c r="C496" t="s">
        <v>44</v>
      </c>
      <c r="D496">
        <f>VLOOKUP(C496,成本价!$C$2:$D$16,2,0)*H496</f>
        <v>1.191</v>
      </c>
      <c r="E496">
        <v>0</v>
      </c>
      <c r="G496">
        <f t="shared" si="7"/>
        <v>-1.191</v>
      </c>
      <c r="H496">
        <v>3</v>
      </c>
    </row>
    <row r="497" spans="2:8">
      <c r="B497" s="3">
        <v>45604</v>
      </c>
      <c r="C497" t="s">
        <v>12</v>
      </c>
      <c r="D497">
        <f>VLOOKUP(C497,成本价!$C$2:$D$16,2,0)*H497</f>
        <v>1.548</v>
      </c>
      <c r="E497">
        <v>11.44</v>
      </c>
      <c r="F497">
        <v>3.5</v>
      </c>
      <c r="G497">
        <f t="shared" si="7"/>
        <v>9.892</v>
      </c>
      <c r="H497">
        <v>4</v>
      </c>
    </row>
    <row r="498" spans="2:8">
      <c r="B498" s="3">
        <v>45604</v>
      </c>
      <c r="C498" t="s">
        <v>44</v>
      </c>
      <c r="D498">
        <f>VLOOKUP(C498,成本价!$C$2:$D$16,2,0)*H498</f>
        <v>1.588</v>
      </c>
      <c r="E498">
        <v>0</v>
      </c>
      <c r="G498">
        <f t="shared" si="7"/>
        <v>-1.588</v>
      </c>
      <c r="H498">
        <v>4</v>
      </c>
    </row>
    <row r="499" spans="2:8">
      <c r="B499" s="3">
        <v>45604</v>
      </c>
      <c r="C499" t="s">
        <v>12</v>
      </c>
      <c r="D499">
        <f>VLOOKUP(C499,成本价!$C$2:$D$16,2,0)*H499</f>
        <v>2.322</v>
      </c>
      <c r="E499">
        <v>10.36</v>
      </c>
      <c r="F499">
        <v>3.5</v>
      </c>
      <c r="G499">
        <f t="shared" si="7"/>
        <v>8.038</v>
      </c>
      <c r="H499">
        <v>6</v>
      </c>
    </row>
    <row r="500" spans="2:8">
      <c r="B500" s="3">
        <v>45604</v>
      </c>
      <c r="C500" t="s">
        <v>12</v>
      </c>
      <c r="D500">
        <f>VLOOKUP(C500,成本价!$C$2:$D$16,2,0)*H500</f>
        <v>3.87</v>
      </c>
      <c r="E500">
        <v>16.28</v>
      </c>
      <c r="F500">
        <v>3.5</v>
      </c>
      <c r="G500">
        <f t="shared" si="7"/>
        <v>12.41</v>
      </c>
      <c r="H500">
        <v>10</v>
      </c>
    </row>
    <row r="501" spans="2:8">
      <c r="B501" s="3">
        <v>45604</v>
      </c>
      <c r="C501" t="s">
        <v>44</v>
      </c>
      <c r="D501">
        <f>VLOOKUP(C501,成本价!$C$2:$D$16,2,0)*H501</f>
        <v>2.382</v>
      </c>
      <c r="E501">
        <v>0</v>
      </c>
      <c r="G501">
        <f t="shared" si="7"/>
        <v>-2.382</v>
      </c>
      <c r="H501">
        <v>6</v>
      </c>
    </row>
    <row r="502" spans="2:8">
      <c r="B502" s="3">
        <v>45604</v>
      </c>
      <c r="C502" t="s">
        <v>16</v>
      </c>
      <c r="D502">
        <f>VLOOKUP(C502,成本价!$C$2:$D$16,2,0)*H502</f>
        <v>8.1</v>
      </c>
      <c r="E502">
        <v>18.24</v>
      </c>
      <c r="F502">
        <v>3.5</v>
      </c>
      <c r="G502">
        <f t="shared" si="7"/>
        <v>10.14</v>
      </c>
      <c r="H502">
        <v>3</v>
      </c>
    </row>
    <row r="503" spans="2:8">
      <c r="B503" s="3">
        <v>45604</v>
      </c>
      <c r="C503" t="s">
        <v>12</v>
      </c>
      <c r="D503">
        <f>VLOOKUP(C503,成本价!$C$2:$D$16,2,0)*H503</f>
        <v>1.548</v>
      </c>
      <c r="E503">
        <v>11.44</v>
      </c>
      <c r="F503">
        <v>3.5</v>
      </c>
      <c r="G503">
        <f t="shared" si="7"/>
        <v>9.892</v>
      </c>
      <c r="H503">
        <v>4</v>
      </c>
    </row>
    <row r="504" spans="2:8">
      <c r="B504" s="3">
        <v>45604</v>
      </c>
      <c r="C504" t="s">
        <v>44</v>
      </c>
      <c r="D504">
        <f>VLOOKUP(C504,成本价!$C$2:$D$16,2,0)*H504</f>
        <v>1.588</v>
      </c>
      <c r="E504">
        <v>0</v>
      </c>
      <c r="G504">
        <f t="shared" si="7"/>
        <v>-1.588</v>
      </c>
      <c r="H504">
        <v>4</v>
      </c>
    </row>
    <row r="505" spans="2:8">
      <c r="B505" s="3">
        <v>45604</v>
      </c>
      <c r="C505" t="s">
        <v>33</v>
      </c>
      <c r="D505">
        <f>VLOOKUP(C505,成本价!$C$2:$D$16,2,0)*H505</f>
        <v>1.7</v>
      </c>
      <c r="E505">
        <v>17.6</v>
      </c>
      <c r="F505">
        <v>3.5</v>
      </c>
      <c r="G505">
        <f t="shared" si="7"/>
        <v>15.9</v>
      </c>
      <c r="H505">
        <v>1</v>
      </c>
    </row>
    <row r="506" spans="2:8">
      <c r="B506" s="3">
        <v>45604</v>
      </c>
      <c r="C506" t="s">
        <v>27</v>
      </c>
      <c r="D506">
        <f>VLOOKUP(C506,成本价!$C$2:$D$16,2,0)*H506</f>
        <v>3.6</v>
      </c>
      <c r="E506">
        <v>0</v>
      </c>
      <c r="G506">
        <f t="shared" si="7"/>
        <v>-3.6</v>
      </c>
      <c r="H506">
        <v>2</v>
      </c>
    </row>
    <row r="507" spans="2:8">
      <c r="B507" s="3">
        <v>45604</v>
      </c>
      <c r="C507" t="s">
        <v>12</v>
      </c>
      <c r="D507">
        <f>VLOOKUP(C507,成本价!$C$2:$D$16,2,0)*H507</f>
        <v>3.87</v>
      </c>
      <c r="E507">
        <v>13.4</v>
      </c>
      <c r="F507">
        <v>3.5</v>
      </c>
      <c r="G507">
        <f t="shared" si="7"/>
        <v>9.53</v>
      </c>
      <c r="H507">
        <v>10</v>
      </c>
    </row>
    <row r="508" spans="2:8">
      <c r="B508" s="3">
        <v>45604</v>
      </c>
      <c r="C508" t="s">
        <v>33</v>
      </c>
      <c r="D508">
        <f>VLOOKUP(C508,成本价!$C$2:$D$16,2,0)*H508</f>
        <v>1.7</v>
      </c>
      <c r="E508">
        <v>6.39</v>
      </c>
      <c r="F508">
        <v>3.5</v>
      </c>
      <c r="G508">
        <f t="shared" si="7"/>
        <v>4.69</v>
      </c>
      <c r="H508">
        <v>1</v>
      </c>
    </row>
    <row r="509" spans="2:8">
      <c r="B509" s="3">
        <v>45604</v>
      </c>
      <c r="C509" t="s">
        <v>33</v>
      </c>
      <c r="D509">
        <f>VLOOKUP(C509,成本价!$C$2:$D$16,2,0)*H509</f>
        <v>1.7</v>
      </c>
      <c r="E509">
        <v>5.93</v>
      </c>
      <c r="F509">
        <v>3.5</v>
      </c>
      <c r="G509">
        <f t="shared" si="7"/>
        <v>4.23</v>
      </c>
      <c r="H509">
        <v>1</v>
      </c>
    </row>
    <row r="510" spans="2:8">
      <c r="B510" s="3">
        <v>45604</v>
      </c>
      <c r="C510" t="s">
        <v>12</v>
      </c>
      <c r="D510">
        <f>VLOOKUP(C510,成本价!$C$2:$D$16,2,0)*H510</f>
        <v>3.87</v>
      </c>
      <c r="E510">
        <v>15.82</v>
      </c>
      <c r="F510">
        <v>3.5</v>
      </c>
      <c r="G510">
        <f t="shared" si="7"/>
        <v>11.95</v>
      </c>
      <c r="H510">
        <v>10</v>
      </c>
    </row>
    <row r="511" spans="2:8">
      <c r="B511" s="3">
        <v>45604</v>
      </c>
      <c r="C511" t="s">
        <v>44</v>
      </c>
      <c r="D511">
        <f>VLOOKUP(C511,成本价!$C$2:$D$16,2,0)*H511</f>
        <v>2.382</v>
      </c>
      <c r="E511">
        <v>0</v>
      </c>
      <c r="G511">
        <f t="shared" si="7"/>
        <v>-2.382</v>
      </c>
      <c r="H511">
        <v>6</v>
      </c>
    </row>
    <row r="512" spans="2:8">
      <c r="B512" s="3">
        <v>45604</v>
      </c>
      <c r="C512" t="s">
        <v>33</v>
      </c>
      <c r="D512">
        <f>VLOOKUP(C512,成本价!$C$2:$D$16,2,0)*H512</f>
        <v>1.7</v>
      </c>
      <c r="E512">
        <v>5.54</v>
      </c>
      <c r="F512">
        <v>3.5</v>
      </c>
      <c r="G512">
        <f t="shared" si="7"/>
        <v>3.84</v>
      </c>
      <c r="H512">
        <v>1</v>
      </c>
    </row>
    <row r="513" spans="2:8">
      <c r="B513" s="3">
        <v>45604</v>
      </c>
      <c r="C513" t="s">
        <v>12</v>
      </c>
      <c r="D513">
        <f>VLOOKUP(C513,成本价!$C$2:$D$16,2,0)*H513</f>
        <v>2.709</v>
      </c>
      <c r="E513">
        <v>17.6</v>
      </c>
      <c r="F513">
        <v>3.5</v>
      </c>
      <c r="G513">
        <f t="shared" si="7"/>
        <v>14.891</v>
      </c>
      <c r="H513">
        <v>7</v>
      </c>
    </row>
    <row r="514" spans="2:8">
      <c r="B514" s="3">
        <v>45604</v>
      </c>
      <c r="C514" t="s">
        <v>44</v>
      </c>
      <c r="D514">
        <f>VLOOKUP(C514,成本价!$C$2:$D$16,2,0)*H514</f>
        <v>3.573</v>
      </c>
      <c r="E514">
        <v>0</v>
      </c>
      <c r="G514">
        <f t="shared" si="7"/>
        <v>-3.573</v>
      </c>
      <c r="H514">
        <v>9</v>
      </c>
    </row>
    <row r="515" spans="2:8">
      <c r="B515" s="3">
        <v>45604</v>
      </c>
      <c r="C515" t="s">
        <v>40</v>
      </c>
      <c r="D515">
        <f>VLOOKUP(C515,成本价!$C$2:$D$16,2,0)*H515</f>
        <v>1.88</v>
      </c>
      <c r="E515">
        <v>6.9</v>
      </c>
      <c r="F515">
        <v>3.5</v>
      </c>
      <c r="G515">
        <f t="shared" si="7"/>
        <v>5.02</v>
      </c>
      <c r="H515">
        <v>1</v>
      </c>
    </row>
    <row r="516" spans="2:8">
      <c r="B516" s="3">
        <v>45604</v>
      </c>
      <c r="C516" t="s">
        <v>23</v>
      </c>
      <c r="D516">
        <f>VLOOKUP(C516,成本价!$C$2:$D$16,2,0)*H516</f>
        <v>2.08</v>
      </c>
      <c r="E516">
        <v>18.7</v>
      </c>
      <c r="F516">
        <v>3.5</v>
      </c>
      <c r="G516">
        <f t="shared" si="7"/>
        <v>16.62</v>
      </c>
      <c r="H516">
        <v>1</v>
      </c>
    </row>
    <row r="517" spans="2:8">
      <c r="B517" s="3">
        <v>45604</v>
      </c>
      <c r="C517" t="s">
        <v>28</v>
      </c>
      <c r="D517">
        <f>VLOOKUP(C517,成本价!$C$2:$D$16,2,0)*H517</f>
        <v>4.44</v>
      </c>
      <c r="E517">
        <v>0</v>
      </c>
      <c r="G517">
        <f t="shared" si="7"/>
        <v>-4.44</v>
      </c>
      <c r="H517">
        <v>2</v>
      </c>
    </row>
    <row r="518" spans="2:8">
      <c r="B518" s="3">
        <v>45604</v>
      </c>
      <c r="C518" t="s">
        <v>12</v>
      </c>
      <c r="D518">
        <f>VLOOKUP(C518,成本价!$C$2:$D$16,2,0)*H518</f>
        <v>1.548</v>
      </c>
      <c r="E518">
        <v>10.4</v>
      </c>
      <c r="F518">
        <v>3.5</v>
      </c>
      <c r="G518">
        <f t="shared" si="7"/>
        <v>8.852</v>
      </c>
      <c r="H518">
        <v>4</v>
      </c>
    </row>
    <row r="519" spans="2:8">
      <c r="B519" s="3">
        <v>45604</v>
      </c>
      <c r="C519" t="s">
        <v>44</v>
      </c>
      <c r="D519">
        <f>VLOOKUP(C519,成本价!$C$2:$D$16,2,0)*H519</f>
        <v>1.588</v>
      </c>
      <c r="E519">
        <v>0</v>
      </c>
      <c r="G519">
        <f t="shared" si="7"/>
        <v>-1.588</v>
      </c>
      <c r="H519">
        <v>4</v>
      </c>
    </row>
    <row r="520" spans="2:8">
      <c r="B520" s="3">
        <v>45604</v>
      </c>
      <c r="C520" t="s">
        <v>40</v>
      </c>
      <c r="D520">
        <f>VLOOKUP(C520,成本价!$C$2:$D$16,2,0)*H520</f>
        <v>1.88</v>
      </c>
      <c r="E520">
        <v>6.9</v>
      </c>
      <c r="F520">
        <v>3.5</v>
      </c>
      <c r="G520">
        <f t="shared" si="7"/>
        <v>5.02</v>
      </c>
      <c r="H520">
        <v>1</v>
      </c>
    </row>
    <row r="521" spans="2:8">
      <c r="B521" s="3">
        <v>45604</v>
      </c>
      <c r="C521" t="s">
        <v>33</v>
      </c>
      <c r="D521">
        <f>VLOOKUP(C521,成本价!$C$2:$D$16,2,0)*H521</f>
        <v>1.7</v>
      </c>
      <c r="E521">
        <v>6.39</v>
      </c>
      <c r="F521">
        <v>3.5</v>
      </c>
      <c r="G521">
        <f t="shared" si="7"/>
        <v>4.69</v>
      </c>
      <c r="H521">
        <v>1</v>
      </c>
    </row>
    <row r="522" spans="2:9">
      <c r="B522" s="3">
        <v>45604</v>
      </c>
      <c r="I522">
        <f>137.01-9.03+15.58</f>
        <v>143.56</v>
      </c>
    </row>
    <row r="523" spans="2:8">
      <c r="B523" s="29">
        <v>45605</v>
      </c>
      <c r="C523" t="s">
        <v>33</v>
      </c>
      <c r="D523">
        <f>VLOOKUP(C523,成本价!$C$2:$D$16,2,0)*H523</f>
        <v>3.4</v>
      </c>
      <c r="E523">
        <v>17.6</v>
      </c>
      <c r="F523">
        <v>3.5</v>
      </c>
      <c r="G523">
        <f t="shared" ref="G523:G555" si="8">E523-D523</f>
        <v>14.2</v>
      </c>
      <c r="H523">
        <v>2</v>
      </c>
    </row>
    <row r="524" spans="2:8">
      <c r="B524" s="3">
        <v>45605</v>
      </c>
      <c r="C524" t="s">
        <v>27</v>
      </c>
      <c r="D524">
        <f>VLOOKUP(C524,成本价!$C$2:$D$16,2,0)*H524</f>
        <v>1.8</v>
      </c>
      <c r="E524">
        <v>0</v>
      </c>
      <c r="G524">
        <f t="shared" si="8"/>
        <v>-1.8</v>
      </c>
      <c r="H524">
        <v>1</v>
      </c>
    </row>
    <row r="525" spans="2:8">
      <c r="B525" s="3">
        <v>45605</v>
      </c>
      <c r="C525" t="s">
        <v>28</v>
      </c>
      <c r="D525">
        <f>VLOOKUP(C525,成本价!$C$2:$D$16,2,0)*H525</f>
        <v>2.22</v>
      </c>
      <c r="E525">
        <v>6.32</v>
      </c>
      <c r="F525">
        <v>3.5</v>
      </c>
      <c r="G525">
        <f t="shared" ref="G525:G530" si="9">E525-D525</f>
        <v>4.1</v>
      </c>
      <c r="H525">
        <v>1</v>
      </c>
    </row>
    <row r="526" spans="2:8">
      <c r="B526" s="3">
        <v>45605</v>
      </c>
      <c r="C526" t="s">
        <v>16</v>
      </c>
      <c r="D526">
        <f>VLOOKUP(C526,成本价!$C$2:$D$16,2,0)*H526</f>
        <v>8.1</v>
      </c>
      <c r="E526">
        <v>23.51</v>
      </c>
      <c r="F526">
        <v>3.5</v>
      </c>
      <c r="G526">
        <f t="shared" si="9"/>
        <v>15.41</v>
      </c>
      <c r="H526">
        <v>3</v>
      </c>
    </row>
    <row r="527" spans="2:8">
      <c r="B527" s="3">
        <v>45605</v>
      </c>
      <c r="C527" t="s">
        <v>20</v>
      </c>
      <c r="D527">
        <f>VLOOKUP(C527,成本价!$C$2:$D$16,2,0)*H527</f>
        <v>3</v>
      </c>
      <c r="G527">
        <f t="shared" si="9"/>
        <v>-3</v>
      </c>
      <c r="H527">
        <v>1</v>
      </c>
    </row>
    <row r="528" spans="2:8">
      <c r="B528" s="3">
        <v>45605</v>
      </c>
      <c r="C528" t="s">
        <v>40</v>
      </c>
      <c r="D528">
        <f>VLOOKUP(C528,成本价!$C$2:$D$16,2,0)*H528</f>
        <v>22.56</v>
      </c>
      <c r="E528">
        <v>51.6</v>
      </c>
      <c r="F528">
        <v>3.5</v>
      </c>
      <c r="G528">
        <f t="shared" si="9"/>
        <v>29.04</v>
      </c>
      <c r="H528">
        <v>12</v>
      </c>
    </row>
    <row r="529" spans="2:8">
      <c r="B529" s="3">
        <v>45605</v>
      </c>
      <c r="C529" t="s">
        <v>23</v>
      </c>
      <c r="D529">
        <f>VLOOKUP(C529,成本价!$C$2:$D$16,2,0)*H529</f>
        <v>8.32</v>
      </c>
      <c r="E529">
        <v>30.81</v>
      </c>
      <c r="F529">
        <v>3.5</v>
      </c>
      <c r="G529">
        <f t="shared" si="9"/>
        <v>22.49</v>
      </c>
      <c r="H529">
        <v>4</v>
      </c>
    </row>
    <row r="530" spans="2:8">
      <c r="B530" s="3">
        <v>45605</v>
      </c>
      <c r="C530" t="s">
        <v>28</v>
      </c>
      <c r="D530">
        <f>VLOOKUP(C530,成本价!$C$2:$D$16,2,0)*H530</f>
        <v>8.88</v>
      </c>
      <c r="G530">
        <f t="shared" si="9"/>
        <v>-8.88</v>
      </c>
      <c r="H530">
        <v>4</v>
      </c>
    </row>
    <row r="531" spans="2:8">
      <c r="B531" s="3">
        <v>45605</v>
      </c>
      <c r="C531" t="s">
        <v>49</v>
      </c>
      <c r="D531">
        <f>VLOOKUP(C531,成本价!$C$2:$D$59,2,0)*H531</f>
        <v>3.95</v>
      </c>
      <c r="E531">
        <v>18.92</v>
      </c>
      <c r="F531">
        <v>3.5</v>
      </c>
      <c r="G531">
        <f t="shared" si="8"/>
        <v>14.97</v>
      </c>
      <c r="H531">
        <v>2</v>
      </c>
    </row>
    <row r="532" spans="2:8">
      <c r="B532" s="3">
        <v>45605</v>
      </c>
      <c r="C532" t="s">
        <v>50</v>
      </c>
      <c r="D532">
        <f>VLOOKUP(C532,成本价!$C$2:$D$59,2,0)*H532</f>
        <v>2.749</v>
      </c>
      <c r="E532">
        <v>11.44</v>
      </c>
      <c r="F532">
        <v>3.5</v>
      </c>
      <c r="G532">
        <f t="shared" si="8"/>
        <v>8.691</v>
      </c>
      <c r="H532">
        <v>1</v>
      </c>
    </row>
    <row r="533" spans="2:8">
      <c r="B533" s="3">
        <v>45605</v>
      </c>
      <c r="C533" t="s">
        <v>51</v>
      </c>
      <c r="D533">
        <f>VLOOKUP(C533,成本价!$C$2:$D$59,2,0)*H533</f>
        <v>9</v>
      </c>
      <c r="E533">
        <v>18.24</v>
      </c>
      <c r="F533">
        <v>3.5</v>
      </c>
      <c r="G533">
        <f t="shared" si="8"/>
        <v>9.24</v>
      </c>
      <c r="H533">
        <v>1</v>
      </c>
    </row>
    <row r="534" spans="2:8">
      <c r="B534" s="3">
        <v>45605</v>
      </c>
      <c r="C534" t="s">
        <v>52</v>
      </c>
      <c r="D534">
        <f>VLOOKUP(C534,成本价!$C$2:$D$59,2,0)*H534</f>
        <v>10.96</v>
      </c>
      <c r="E534">
        <v>28.2</v>
      </c>
      <c r="F534">
        <v>3.5</v>
      </c>
      <c r="G534">
        <f t="shared" si="8"/>
        <v>17.24</v>
      </c>
      <c r="H534">
        <v>1</v>
      </c>
    </row>
    <row r="535" spans="2:8">
      <c r="B535" s="3">
        <v>45605</v>
      </c>
      <c r="C535" t="s">
        <v>49</v>
      </c>
      <c r="D535">
        <f>VLOOKUP(C535,成本价!$C$2:$D$59,2,0)*H535</f>
        <v>1.975</v>
      </c>
      <c r="E535">
        <v>10.46</v>
      </c>
      <c r="F535">
        <v>3.5</v>
      </c>
      <c r="G535">
        <f t="shared" si="8"/>
        <v>8.485</v>
      </c>
      <c r="H535">
        <v>1</v>
      </c>
    </row>
    <row r="536" spans="2:8">
      <c r="B536" s="3">
        <v>45605</v>
      </c>
      <c r="C536" t="s">
        <v>53</v>
      </c>
      <c r="D536">
        <f>VLOOKUP(C536,成本价!$C$2:$D$59,2,0)*H536</f>
        <v>9.68</v>
      </c>
      <c r="E536">
        <v>29.3</v>
      </c>
      <c r="F536">
        <v>3.5</v>
      </c>
      <c r="G536">
        <f t="shared" si="8"/>
        <v>19.62</v>
      </c>
      <c r="H536">
        <v>1</v>
      </c>
    </row>
    <row r="537" spans="2:8">
      <c r="B537" s="3">
        <v>45605</v>
      </c>
      <c r="C537" t="s">
        <v>50</v>
      </c>
      <c r="D537">
        <f>VLOOKUP(C537,成本价!$C$2:$D$59,2,0)*H537</f>
        <v>2.749</v>
      </c>
      <c r="E537">
        <v>11.4</v>
      </c>
      <c r="F537">
        <v>3.5</v>
      </c>
      <c r="G537">
        <f t="shared" si="8"/>
        <v>8.651</v>
      </c>
      <c r="H537">
        <v>1</v>
      </c>
    </row>
    <row r="538" spans="2:8">
      <c r="B538" s="3">
        <v>45605</v>
      </c>
      <c r="C538" t="s">
        <v>12</v>
      </c>
      <c r="D538">
        <f>VLOOKUP(C538,成本价!$C$2:$D$59,2,0)*H538</f>
        <v>1.161</v>
      </c>
      <c r="E538">
        <v>10.3</v>
      </c>
      <c r="F538">
        <v>3.5</v>
      </c>
      <c r="G538">
        <f t="shared" si="8"/>
        <v>9.139</v>
      </c>
      <c r="H538">
        <v>3</v>
      </c>
    </row>
    <row r="539" spans="2:8">
      <c r="B539" s="3">
        <v>45605</v>
      </c>
      <c r="C539" t="s">
        <v>44</v>
      </c>
      <c r="D539">
        <f>VLOOKUP(C539,成本价!$C$2:$D$59,2,0)*H539</f>
        <v>0.794</v>
      </c>
      <c r="G539">
        <f t="shared" si="8"/>
        <v>-0.794</v>
      </c>
      <c r="H539">
        <v>2</v>
      </c>
    </row>
    <row r="540" spans="2:8">
      <c r="B540" s="3">
        <v>45605</v>
      </c>
      <c r="C540" t="s">
        <v>40</v>
      </c>
      <c r="D540">
        <f>VLOOKUP(C540,成本价!$C$2:$D$59,2,0)*H540</f>
        <v>1.88</v>
      </c>
      <c r="E540">
        <v>6.9</v>
      </c>
      <c r="F540">
        <v>3.5</v>
      </c>
      <c r="G540">
        <f t="shared" si="8"/>
        <v>5.02</v>
      </c>
      <c r="H540">
        <v>1</v>
      </c>
    </row>
    <row r="541" spans="2:8">
      <c r="B541" s="3">
        <v>45605</v>
      </c>
      <c r="C541" t="s">
        <v>51</v>
      </c>
      <c r="D541">
        <f>VLOOKUP(C541,成本价!$C$2:$D$59,2,0)*H541</f>
        <v>9</v>
      </c>
      <c r="E541">
        <v>18.24</v>
      </c>
      <c r="F541">
        <v>3.5</v>
      </c>
      <c r="G541">
        <f t="shared" si="8"/>
        <v>9.24</v>
      </c>
      <c r="H541">
        <v>1</v>
      </c>
    </row>
    <row r="542" spans="2:8">
      <c r="B542" s="3">
        <v>45605</v>
      </c>
      <c r="C542" t="s">
        <v>54</v>
      </c>
      <c r="D542">
        <f>VLOOKUP(C542,成本价!$C$2:$D$59,2,0)*H542</f>
        <v>14.7</v>
      </c>
      <c r="E542">
        <v>27.49</v>
      </c>
      <c r="F542">
        <v>3.5</v>
      </c>
      <c r="G542">
        <f t="shared" si="8"/>
        <v>12.79</v>
      </c>
      <c r="H542">
        <v>1</v>
      </c>
    </row>
    <row r="543" spans="2:8">
      <c r="B543" s="3">
        <v>45605</v>
      </c>
      <c r="C543" t="s">
        <v>55</v>
      </c>
      <c r="D543">
        <f>VLOOKUP(C543,成本价!$C$2:$D$59,2,0)*H543</f>
        <v>1.171</v>
      </c>
      <c r="E543">
        <v>8.6</v>
      </c>
      <c r="F543">
        <v>3.5</v>
      </c>
      <c r="G543">
        <f t="shared" si="8"/>
        <v>7.429</v>
      </c>
      <c r="H543">
        <v>1</v>
      </c>
    </row>
    <row r="544" spans="2:8">
      <c r="B544" s="3">
        <v>45605</v>
      </c>
      <c r="C544" t="s">
        <v>55</v>
      </c>
      <c r="D544">
        <f>VLOOKUP(C544,成本价!$C$2:$D$59,2,0)*H544</f>
        <v>3.513</v>
      </c>
      <c r="E544">
        <v>13.4</v>
      </c>
      <c r="F544">
        <v>3.5</v>
      </c>
      <c r="G544">
        <f t="shared" si="8"/>
        <v>9.887</v>
      </c>
      <c r="H544">
        <v>3</v>
      </c>
    </row>
    <row r="545" spans="2:8">
      <c r="B545" s="3">
        <v>45605</v>
      </c>
      <c r="C545" t="s">
        <v>49</v>
      </c>
      <c r="D545">
        <f>VLOOKUP(C545,成本价!$C$2:$D$59,2,0)*H545</f>
        <v>1.975</v>
      </c>
      <c r="E545">
        <v>10.4</v>
      </c>
      <c r="F545">
        <v>3.5</v>
      </c>
      <c r="G545">
        <f t="shared" si="8"/>
        <v>8.425</v>
      </c>
      <c r="H545">
        <v>1</v>
      </c>
    </row>
    <row r="546" spans="2:8">
      <c r="B546" s="3">
        <v>45605</v>
      </c>
      <c r="C546" t="s">
        <v>55</v>
      </c>
      <c r="D546">
        <f>VLOOKUP(C546,成本价!$C$2:$D$59,2,0)*H546</f>
        <v>3.513</v>
      </c>
      <c r="E546">
        <v>13.4</v>
      </c>
      <c r="F546">
        <v>3.5</v>
      </c>
      <c r="G546">
        <f t="shared" si="8"/>
        <v>9.887</v>
      </c>
      <c r="H546">
        <v>3</v>
      </c>
    </row>
    <row r="547" spans="2:8">
      <c r="B547" s="3">
        <v>45605</v>
      </c>
      <c r="C547" t="s">
        <v>56</v>
      </c>
      <c r="D547">
        <f>VLOOKUP(C547,成本价!$C$2:$D$59,2,0)*H547</f>
        <v>3.483</v>
      </c>
      <c r="E547">
        <v>13.4</v>
      </c>
      <c r="F547">
        <v>3.5</v>
      </c>
      <c r="G547">
        <f t="shared" si="8"/>
        <v>9.917</v>
      </c>
      <c r="H547">
        <v>3</v>
      </c>
    </row>
    <row r="548" spans="2:8">
      <c r="B548" s="3">
        <v>45605</v>
      </c>
      <c r="C548" t="s">
        <v>12</v>
      </c>
      <c r="D548">
        <f>VLOOKUP(C548,成本价!$C$2:$D$59,2,0)*H548</f>
        <v>3.87</v>
      </c>
      <c r="G548">
        <f t="shared" si="8"/>
        <v>-3.87</v>
      </c>
      <c r="H548">
        <v>10</v>
      </c>
    </row>
    <row r="549" spans="2:8">
      <c r="B549" s="3">
        <v>45605</v>
      </c>
      <c r="C549" t="s">
        <v>57</v>
      </c>
      <c r="D549">
        <f>VLOOKUP(C549,成本价!$C$2:$D$59,2,0)*H549</f>
        <v>8.9</v>
      </c>
      <c r="E549">
        <v>28</v>
      </c>
      <c r="F549">
        <v>3.5</v>
      </c>
      <c r="G549">
        <f t="shared" si="8"/>
        <v>19.1</v>
      </c>
      <c r="H549">
        <v>1</v>
      </c>
    </row>
    <row r="550" spans="2:8">
      <c r="B550" s="3">
        <v>45605</v>
      </c>
      <c r="C550" t="s">
        <v>27</v>
      </c>
      <c r="D550">
        <f>VLOOKUP(C550,成本价!$C$2:$D$59,2,0)*H550</f>
        <v>2.7</v>
      </c>
      <c r="E550">
        <v>6.22</v>
      </c>
      <c r="F550">
        <v>3.5</v>
      </c>
      <c r="G550">
        <f t="shared" si="8"/>
        <v>3.52</v>
      </c>
      <c r="H550">
        <v>1.5</v>
      </c>
    </row>
    <row r="551" spans="2:8">
      <c r="B551" s="3">
        <v>45605</v>
      </c>
      <c r="C551" t="s">
        <v>37</v>
      </c>
      <c r="D551">
        <f>VLOOKUP(C551,成本价!$C$2:$D$59,2,0)*H551</f>
        <v>15.24</v>
      </c>
      <c r="E551">
        <f>6.22+6.13+6.14+6.14+6.14</f>
        <v>30.77</v>
      </c>
      <c r="F551">
        <v>3.5</v>
      </c>
      <c r="G551">
        <f t="shared" si="8"/>
        <v>15.53</v>
      </c>
      <c r="H551">
        <f>4*1.5</f>
        <v>6</v>
      </c>
    </row>
    <row r="552" spans="2:8">
      <c r="B552" s="3">
        <v>45605</v>
      </c>
      <c r="C552" t="s">
        <v>36</v>
      </c>
      <c r="D552">
        <f>VLOOKUP(C552,成本价!$C$2:$D$59,2,0)*H552</f>
        <v>10.44</v>
      </c>
      <c r="E552">
        <f>6.13+6.14+6.14</f>
        <v>18.41</v>
      </c>
      <c r="G552">
        <f t="shared" si="8"/>
        <v>7.97</v>
      </c>
      <c r="H552">
        <f>3*1.5</f>
        <v>4.5</v>
      </c>
    </row>
    <row r="553" spans="2:8">
      <c r="B553" s="3">
        <v>45605</v>
      </c>
      <c r="C553" t="s">
        <v>37</v>
      </c>
      <c r="D553">
        <f>VLOOKUP(C553,成本价!$C$2:$D$59,2,0)*H553</f>
        <v>2.54</v>
      </c>
      <c r="E553">
        <v>8.31</v>
      </c>
      <c r="F553">
        <v>3.5</v>
      </c>
      <c r="G553">
        <f t="shared" si="8"/>
        <v>5.77</v>
      </c>
      <c r="H553">
        <v>1</v>
      </c>
    </row>
    <row r="554" spans="2:8">
      <c r="B554" s="3">
        <v>45605</v>
      </c>
      <c r="C554" t="s">
        <v>33</v>
      </c>
      <c r="D554">
        <f>VLOOKUP(C554,成本价!$C$2:$D$59,2,0)*H554</f>
        <v>2.55</v>
      </c>
      <c r="E554">
        <v>6.22</v>
      </c>
      <c r="F554">
        <v>3.5</v>
      </c>
      <c r="G554">
        <f t="shared" si="8"/>
        <v>3.67</v>
      </c>
      <c r="H554">
        <v>1.5</v>
      </c>
    </row>
    <row r="555" spans="2:8">
      <c r="B555" s="3">
        <v>45605</v>
      </c>
      <c r="C555" t="s">
        <v>33</v>
      </c>
      <c r="D555">
        <f>VLOOKUP(C555,成本价!$C$2:$D$59,2,0)*H555</f>
        <v>1.7</v>
      </c>
      <c r="E555">
        <v>6.39</v>
      </c>
      <c r="F555">
        <v>3.5</v>
      </c>
      <c r="G555">
        <f t="shared" si="8"/>
        <v>4.69</v>
      </c>
      <c r="H555">
        <v>1</v>
      </c>
    </row>
    <row r="556" spans="2:9">
      <c r="B556" s="3">
        <v>45605</v>
      </c>
      <c r="E556" s="2"/>
      <c r="I556">
        <f>216.64+9.03</f>
        <v>225.67</v>
      </c>
    </row>
    <row r="557" spans="2:8">
      <c r="B557" s="42">
        <v>45606</v>
      </c>
      <c r="C557" t="s">
        <v>49</v>
      </c>
      <c r="D557">
        <f>VLOOKUP(C557,成本价!$C$2:$D$59,2,0)*H557</f>
        <v>1.975</v>
      </c>
      <c r="E557">
        <v>10.23</v>
      </c>
      <c r="F557">
        <v>3.5</v>
      </c>
      <c r="G557">
        <f t="shared" ref="G557:G586" si="10">E557-D557</f>
        <v>8.255</v>
      </c>
      <c r="H557">
        <v>1</v>
      </c>
    </row>
    <row r="558" spans="2:8">
      <c r="B558" s="14">
        <v>45606</v>
      </c>
      <c r="C558" t="s">
        <v>57</v>
      </c>
      <c r="D558">
        <f>VLOOKUP(C558,成本价!$C$2:$D$59,2,0)*H558</f>
        <v>8.9</v>
      </c>
      <c r="E558">
        <v>27.9</v>
      </c>
      <c r="F558">
        <v>3.5</v>
      </c>
      <c r="G558">
        <f t="shared" si="10"/>
        <v>19</v>
      </c>
      <c r="H558">
        <v>1</v>
      </c>
    </row>
    <row r="559" spans="2:8">
      <c r="B559" s="14">
        <v>45606</v>
      </c>
      <c r="C559" t="s">
        <v>43</v>
      </c>
      <c r="D559">
        <f>VLOOKUP(C559,成本价!$C$2:$D$59,2,0)*H559</f>
        <v>2.02</v>
      </c>
      <c r="E559">
        <v>6.89</v>
      </c>
      <c r="F559">
        <v>3.5</v>
      </c>
      <c r="G559">
        <f t="shared" si="10"/>
        <v>4.87</v>
      </c>
      <c r="H559">
        <v>1</v>
      </c>
    </row>
    <row r="560" spans="2:8">
      <c r="B560" s="14">
        <v>45606</v>
      </c>
      <c r="C560" t="s">
        <v>43</v>
      </c>
      <c r="D560">
        <f>VLOOKUP(C560,成本价!$C$2:$D$59,2,0)*H560</f>
        <v>2.02</v>
      </c>
      <c r="E560">
        <v>5.89</v>
      </c>
      <c r="F560">
        <v>0</v>
      </c>
      <c r="G560">
        <f t="shared" si="10"/>
        <v>3.87</v>
      </c>
      <c r="H560">
        <v>1</v>
      </c>
    </row>
    <row r="561" spans="2:8">
      <c r="B561" s="14">
        <v>45606</v>
      </c>
      <c r="C561" t="s">
        <v>50</v>
      </c>
      <c r="D561">
        <f>VLOOKUP(C561,成本价!$C$2:$D$59,2,0)*H561</f>
        <v>2.749</v>
      </c>
      <c r="E561">
        <v>11.19</v>
      </c>
      <c r="F561">
        <v>3.5</v>
      </c>
      <c r="G561">
        <f t="shared" si="10"/>
        <v>8.441</v>
      </c>
      <c r="H561">
        <v>1</v>
      </c>
    </row>
    <row r="562" spans="2:8">
      <c r="B562" s="14">
        <v>45606</v>
      </c>
      <c r="C562" t="s">
        <v>27</v>
      </c>
      <c r="D562">
        <f>VLOOKUP(C562,成本价!$C$2:$D$59,2,0)*H562</f>
        <v>1.8</v>
      </c>
      <c r="E562">
        <v>6.38</v>
      </c>
      <c r="F562">
        <v>3.5</v>
      </c>
      <c r="G562">
        <f t="shared" si="10"/>
        <v>4.58</v>
      </c>
      <c r="H562">
        <v>1</v>
      </c>
    </row>
    <row r="563" spans="2:8">
      <c r="B563" s="14">
        <v>45606</v>
      </c>
      <c r="C563" t="s">
        <v>54</v>
      </c>
      <c r="D563">
        <f>VLOOKUP(C563,成本价!$C$2:$D$59,2,0)*H563</f>
        <v>14.7</v>
      </c>
      <c r="E563">
        <v>27.49</v>
      </c>
      <c r="F563">
        <v>3.5</v>
      </c>
      <c r="G563">
        <f t="shared" si="10"/>
        <v>12.79</v>
      </c>
      <c r="H563">
        <v>1</v>
      </c>
    </row>
    <row r="564" spans="2:8">
      <c r="B564" s="14">
        <v>45606</v>
      </c>
      <c r="C564" t="s">
        <v>55</v>
      </c>
      <c r="D564">
        <f>VLOOKUP(C564,成本价!$C$2:$D$59,2,0)*H564</f>
        <v>3.513</v>
      </c>
      <c r="E564">
        <v>13.11</v>
      </c>
      <c r="F564">
        <v>3.5</v>
      </c>
      <c r="G564">
        <f t="shared" si="10"/>
        <v>9.597</v>
      </c>
      <c r="H564">
        <v>3</v>
      </c>
    </row>
    <row r="565" spans="2:8">
      <c r="B565" s="14">
        <v>45606</v>
      </c>
      <c r="C565" t="s">
        <v>58</v>
      </c>
      <c r="D565">
        <f>VLOOKUP(C565,成本价!$C$2:$D$59,2,0)*H565</f>
        <v>8.4</v>
      </c>
      <c r="E565">
        <v>18.24</v>
      </c>
      <c r="F565">
        <v>3.5</v>
      </c>
      <c r="G565">
        <f t="shared" si="10"/>
        <v>9.84</v>
      </c>
      <c r="H565">
        <v>1</v>
      </c>
    </row>
    <row r="566" spans="2:8">
      <c r="B566" s="14">
        <v>45606</v>
      </c>
      <c r="C566" t="s">
        <v>59</v>
      </c>
      <c r="D566">
        <f>VLOOKUP(C566,成本价!$C$2:$D$59,2,0)*H566</f>
        <v>8.7</v>
      </c>
      <c r="E566">
        <v>27.3</v>
      </c>
      <c r="F566">
        <v>3.5</v>
      </c>
      <c r="G566">
        <f t="shared" si="10"/>
        <v>18.6</v>
      </c>
      <c r="H566">
        <v>1</v>
      </c>
    </row>
    <row r="567" spans="2:8">
      <c r="B567" s="14">
        <v>45606</v>
      </c>
      <c r="C567" t="s">
        <v>60</v>
      </c>
      <c r="D567">
        <f>VLOOKUP(C567,成本价!$C$2:$D$59,2,0)*H567</f>
        <v>5.2</v>
      </c>
      <c r="E567">
        <v>17.5</v>
      </c>
      <c r="F567">
        <v>3.5</v>
      </c>
      <c r="G567">
        <f t="shared" si="10"/>
        <v>12.3</v>
      </c>
      <c r="H567">
        <v>1</v>
      </c>
    </row>
    <row r="568" spans="2:8">
      <c r="B568" s="14">
        <v>45606</v>
      </c>
      <c r="C568" t="s">
        <v>33</v>
      </c>
      <c r="D568">
        <f>VLOOKUP(C568,成本价!$C$2:$D$59,2,0)*H568</f>
        <v>1.7</v>
      </c>
      <c r="E568">
        <v>5.38</v>
      </c>
      <c r="F568">
        <v>0</v>
      </c>
      <c r="G568">
        <f t="shared" si="10"/>
        <v>3.68</v>
      </c>
      <c r="H568">
        <v>1</v>
      </c>
    </row>
    <row r="569" spans="2:8">
      <c r="B569" s="14">
        <v>45606</v>
      </c>
      <c r="C569" t="s">
        <v>60</v>
      </c>
      <c r="D569">
        <f>VLOOKUP(C569,成本价!$C$2:$D$59,2,0)*H569</f>
        <v>5.2</v>
      </c>
      <c r="E569">
        <v>17.5</v>
      </c>
      <c r="F569">
        <v>3.5</v>
      </c>
      <c r="G569">
        <f t="shared" si="10"/>
        <v>12.3</v>
      </c>
      <c r="H569">
        <v>1</v>
      </c>
    </row>
    <row r="570" spans="2:8">
      <c r="B570" s="14">
        <v>45606</v>
      </c>
      <c r="C570" t="s">
        <v>58</v>
      </c>
      <c r="D570">
        <f>VLOOKUP(C570,成本价!$C$2:$D$59,2,0)*H570</f>
        <v>8.4</v>
      </c>
      <c r="E570">
        <v>18.24</v>
      </c>
      <c r="F570">
        <v>3.5</v>
      </c>
      <c r="G570">
        <f t="shared" si="10"/>
        <v>9.84</v>
      </c>
      <c r="H570">
        <v>1</v>
      </c>
    </row>
    <row r="571" spans="2:8">
      <c r="B571" s="14">
        <v>45606</v>
      </c>
      <c r="C571" t="s">
        <v>56</v>
      </c>
      <c r="D571">
        <f>VLOOKUP(C571,成本价!$C$2:$D$59,2,0)*H571</f>
        <v>3.483</v>
      </c>
      <c r="E571">
        <v>13.11</v>
      </c>
      <c r="F571">
        <v>3.5</v>
      </c>
      <c r="G571">
        <f t="shared" si="10"/>
        <v>9.627</v>
      </c>
      <c r="H571">
        <v>3</v>
      </c>
    </row>
    <row r="572" spans="2:8">
      <c r="B572" s="14">
        <v>45606</v>
      </c>
      <c r="C572" t="s">
        <v>16</v>
      </c>
      <c r="D572">
        <f>VLOOKUP(C572,成本价!$C$2:$D$59,2,0)*H572</f>
        <v>13.5</v>
      </c>
      <c r="E572">
        <v>27.49</v>
      </c>
      <c r="F572">
        <v>3.5</v>
      </c>
      <c r="G572">
        <f t="shared" si="10"/>
        <v>13.99</v>
      </c>
      <c r="H572">
        <v>5</v>
      </c>
    </row>
    <row r="573" spans="2:8">
      <c r="B573" s="14">
        <v>45606</v>
      </c>
      <c r="C573" t="s">
        <v>37</v>
      </c>
      <c r="D573">
        <f>VLOOKUP(C573,成本价!$C$2:$D$59,2,0)*H573</f>
        <v>11.43</v>
      </c>
      <c r="E573">
        <v>17.63</v>
      </c>
      <c r="F573">
        <v>3.5</v>
      </c>
      <c r="G573">
        <f t="shared" si="10"/>
        <v>6.2</v>
      </c>
      <c r="H573">
        <f>3*1.5</f>
        <v>4.5</v>
      </c>
    </row>
    <row r="574" spans="2:8">
      <c r="B574" s="14">
        <v>45606</v>
      </c>
      <c r="C574" t="s">
        <v>33</v>
      </c>
      <c r="D574">
        <f>VLOOKUP(C574,成本价!$C$2:$D$59,2,0)*H574</f>
        <v>1.7</v>
      </c>
      <c r="E574">
        <v>6.38</v>
      </c>
      <c r="F574">
        <v>3.5</v>
      </c>
      <c r="G574">
        <f t="shared" si="10"/>
        <v>4.68</v>
      </c>
      <c r="H574">
        <v>1</v>
      </c>
    </row>
    <row r="575" spans="2:8">
      <c r="B575" s="14">
        <v>45606</v>
      </c>
      <c r="C575" t="s">
        <v>61</v>
      </c>
      <c r="D575">
        <f>VLOOKUP(C575,成本价!$C$2:$D$59,2,0)*H575</f>
        <v>20.1</v>
      </c>
      <c r="E575">
        <v>37.98</v>
      </c>
      <c r="F575">
        <v>3.5</v>
      </c>
      <c r="G575">
        <f t="shared" si="10"/>
        <v>17.88</v>
      </c>
      <c r="H575">
        <v>1</v>
      </c>
    </row>
    <row r="576" spans="2:8">
      <c r="B576" s="14">
        <v>45606</v>
      </c>
      <c r="C576" t="s">
        <v>58</v>
      </c>
      <c r="D576">
        <f>VLOOKUP(C576,成本价!$C$2:$D$59,2,0)*H576</f>
        <v>8.4</v>
      </c>
      <c r="E576">
        <v>27.49</v>
      </c>
      <c r="F576">
        <v>3.5</v>
      </c>
      <c r="G576">
        <f t="shared" si="10"/>
        <v>19.09</v>
      </c>
      <c r="H576">
        <v>1</v>
      </c>
    </row>
    <row r="577" spans="2:8">
      <c r="B577" s="14">
        <v>45606</v>
      </c>
      <c r="C577" t="s">
        <v>16</v>
      </c>
      <c r="D577">
        <f>VLOOKUP(C577,成本价!$C$2:$D$59,2,0)*H577</f>
        <v>2.7</v>
      </c>
      <c r="G577">
        <f t="shared" si="10"/>
        <v>-2.7</v>
      </c>
      <c r="H577">
        <v>1</v>
      </c>
    </row>
    <row r="578" spans="2:8">
      <c r="B578" s="14">
        <v>45606</v>
      </c>
      <c r="C578" t="s">
        <v>36</v>
      </c>
      <c r="D578">
        <f>VLOOKUP(C578,成本价!$C$2:$D$59,2,0)*H578</f>
        <v>2.32</v>
      </c>
      <c r="E578">
        <v>6.21</v>
      </c>
      <c r="F578">
        <v>3.5</v>
      </c>
      <c r="G578">
        <f t="shared" si="10"/>
        <v>3.89</v>
      </c>
      <c r="H578">
        <v>1</v>
      </c>
    </row>
    <row r="579" spans="2:8">
      <c r="B579" s="14">
        <v>45606</v>
      </c>
      <c r="C579" t="s">
        <v>62</v>
      </c>
      <c r="D579">
        <f>VLOOKUP(C579,成本价!$C$2:$D$59,2,0)*H579</f>
        <v>6.96</v>
      </c>
      <c r="E579">
        <v>18.6</v>
      </c>
      <c r="F579">
        <v>3.5</v>
      </c>
      <c r="G579">
        <f t="shared" si="10"/>
        <v>11.64</v>
      </c>
      <c r="H579">
        <v>1</v>
      </c>
    </row>
    <row r="580" spans="2:8">
      <c r="B580" s="14">
        <v>45606</v>
      </c>
      <c r="C580" t="s">
        <v>63</v>
      </c>
      <c r="D580">
        <f>VLOOKUP(C580,成本价!$C$2:$D$59,2,0)*H580</f>
        <v>5.1</v>
      </c>
      <c r="E580">
        <v>17.5</v>
      </c>
      <c r="F580">
        <v>3.5</v>
      </c>
      <c r="G580">
        <f t="shared" si="10"/>
        <v>12.4</v>
      </c>
      <c r="H580">
        <v>1</v>
      </c>
    </row>
    <row r="581" spans="2:8">
      <c r="B581" s="14">
        <v>45606</v>
      </c>
      <c r="C581" t="s">
        <v>64</v>
      </c>
      <c r="D581">
        <f>VLOOKUP(C581,成本价!$C$2:$D$59,2,0)*H581</f>
        <v>6.38</v>
      </c>
      <c r="E581">
        <v>17.03</v>
      </c>
      <c r="F581">
        <v>3.5</v>
      </c>
      <c r="G581">
        <f t="shared" si="10"/>
        <v>10.65</v>
      </c>
      <c r="H581">
        <v>1</v>
      </c>
    </row>
    <row r="582" spans="2:8">
      <c r="B582" s="14">
        <v>45606</v>
      </c>
      <c r="C582" t="s">
        <v>61</v>
      </c>
      <c r="D582">
        <f>VLOOKUP(C582,成本价!$C$2:$D$59,2,0)*H582</f>
        <v>100.5</v>
      </c>
      <c r="E582">
        <v>155.8</v>
      </c>
      <c r="F582">
        <v>3.5</v>
      </c>
      <c r="G582">
        <f t="shared" si="10"/>
        <v>55.3</v>
      </c>
      <c r="H582">
        <v>5</v>
      </c>
    </row>
    <row r="583" spans="2:8">
      <c r="B583" s="14">
        <v>45606</v>
      </c>
      <c r="C583" t="s">
        <v>60</v>
      </c>
      <c r="D583">
        <f>VLOOKUP(C583,成本价!$C$2:$D$59,2,0)*H583</f>
        <v>5.2</v>
      </c>
      <c r="E583">
        <v>12.69</v>
      </c>
      <c r="F583">
        <v>3.5</v>
      </c>
      <c r="G583">
        <f t="shared" si="10"/>
        <v>7.49</v>
      </c>
      <c r="H583">
        <v>1</v>
      </c>
    </row>
    <row r="584" spans="2:8">
      <c r="B584" s="14">
        <v>45606</v>
      </c>
      <c r="C584" t="s">
        <v>50</v>
      </c>
      <c r="D584">
        <f>VLOOKUP(C584,成本价!$C$2:$D$59,2,0)*H584</f>
        <v>2.749</v>
      </c>
      <c r="E584">
        <v>17.5</v>
      </c>
      <c r="F584">
        <v>3.5</v>
      </c>
      <c r="G584">
        <f t="shared" si="10"/>
        <v>14.751</v>
      </c>
      <c r="H584">
        <v>1</v>
      </c>
    </row>
    <row r="585" spans="2:8">
      <c r="B585" s="14">
        <v>45606</v>
      </c>
      <c r="C585" t="s">
        <v>65</v>
      </c>
      <c r="D585">
        <f>VLOOKUP(C585,成本价!$C$2:$D$59,2,0)*H585</f>
        <v>5.3</v>
      </c>
      <c r="E585">
        <v>11.25</v>
      </c>
      <c r="F585">
        <v>3.5</v>
      </c>
      <c r="G585">
        <f t="shared" si="10"/>
        <v>5.95</v>
      </c>
      <c r="H585">
        <v>1</v>
      </c>
    </row>
    <row r="586" spans="2:8">
      <c r="B586" s="14">
        <v>45606</v>
      </c>
      <c r="C586" t="s">
        <v>27</v>
      </c>
      <c r="D586">
        <f>VLOOKUP(C586,成本价!$C$2:$D$59,2,0)*H586</f>
        <v>1.8</v>
      </c>
      <c r="E586" s="2">
        <v>6.38</v>
      </c>
      <c r="F586">
        <v>3.5</v>
      </c>
      <c r="G586">
        <f t="shared" si="10"/>
        <v>4.58</v>
      </c>
      <c r="H586">
        <v>1</v>
      </c>
    </row>
    <row r="587" spans="2:8">
      <c r="B587" s="14">
        <v>45606</v>
      </c>
      <c r="C587" t="s">
        <v>49</v>
      </c>
      <c r="D587">
        <f>VLOOKUP(C587,成本价!$C$2:$D$59,2,0)*H587</f>
        <v>1.975</v>
      </c>
      <c r="E587" s="2">
        <v>10.46</v>
      </c>
      <c r="F587">
        <v>3.5</v>
      </c>
      <c r="G587">
        <f t="shared" ref="G587:G644" si="11">E587-D587</f>
        <v>8.485</v>
      </c>
      <c r="H587">
        <v>1</v>
      </c>
    </row>
    <row r="588" spans="2:9">
      <c r="B588" s="14">
        <v>45606</v>
      </c>
      <c r="E588" s="2"/>
      <c r="I588">
        <f>200-11.39</f>
        <v>188.61</v>
      </c>
    </row>
    <row r="589" spans="1:8">
      <c r="A589" s="2" t="s">
        <v>48</v>
      </c>
      <c r="B589" s="42">
        <v>45607</v>
      </c>
      <c r="C589" t="s">
        <v>66</v>
      </c>
      <c r="D589">
        <f>VLOOKUP(C589,成本价!$C$2:$D$59,2,0)*H589</f>
        <v>6.24</v>
      </c>
      <c r="E589">
        <v>14.05</v>
      </c>
      <c r="F589">
        <v>3.5</v>
      </c>
      <c r="G589">
        <f t="shared" si="11"/>
        <v>7.81</v>
      </c>
      <c r="H589">
        <v>1</v>
      </c>
    </row>
    <row r="590" spans="2:8">
      <c r="B590" s="14">
        <v>45607</v>
      </c>
      <c r="C590" t="s">
        <v>23</v>
      </c>
      <c r="D590">
        <f>VLOOKUP(C590,成本价!$C$2:$D$59,2,0)*H590</f>
        <v>2.08</v>
      </c>
      <c r="E590">
        <v>6.04</v>
      </c>
      <c r="F590">
        <v>3.5</v>
      </c>
      <c r="G590">
        <f t="shared" si="11"/>
        <v>3.96</v>
      </c>
      <c r="H590">
        <v>1</v>
      </c>
    </row>
    <row r="591" spans="2:8">
      <c r="B591" s="14">
        <v>45607</v>
      </c>
      <c r="C591" t="s">
        <v>67</v>
      </c>
      <c r="D591">
        <f>VLOOKUP(C591,成本价!$C$2:$D$59,2,0)*H591</f>
        <v>6.52</v>
      </c>
      <c r="E591">
        <v>17.03</v>
      </c>
      <c r="F591">
        <v>3.5</v>
      </c>
      <c r="G591">
        <f t="shared" si="11"/>
        <v>10.51</v>
      </c>
      <c r="H591">
        <v>1</v>
      </c>
    </row>
    <row r="592" spans="2:8">
      <c r="B592" s="14">
        <v>45607</v>
      </c>
      <c r="C592" t="s">
        <v>67</v>
      </c>
      <c r="D592">
        <f>VLOOKUP(C592,成本价!$C$2:$D$59,2,0)*H592</f>
        <v>6.52</v>
      </c>
      <c r="E592">
        <v>17.71</v>
      </c>
      <c r="F592">
        <v>3.5</v>
      </c>
      <c r="G592">
        <f t="shared" si="11"/>
        <v>11.19</v>
      </c>
      <c r="H592">
        <v>1</v>
      </c>
    </row>
    <row r="593" spans="2:8">
      <c r="B593" s="14">
        <v>45607</v>
      </c>
      <c r="C593" t="s">
        <v>52</v>
      </c>
      <c r="D593">
        <f>VLOOKUP(C593,成本价!$C$2:$D$59,2,0)*H593</f>
        <v>10.96</v>
      </c>
      <c r="E593">
        <v>26.39</v>
      </c>
      <c r="F593">
        <v>3.5</v>
      </c>
      <c r="G593">
        <f t="shared" si="11"/>
        <v>15.43</v>
      </c>
      <c r="H593">
        <v>1</v>
      </c>
    </row>
    <row r="594" spans="2:8">
      <c r="B594" s="14">
        <v>45607</v>
      </c>
      <c r="C594" t="s">
        <v>66</v>
      </c>
      <c r="D594">
        <f>VLOOKUP(C594,成本价!$C$2:$D$59,2,0)*H594</f>
        <v>6.24</v>
      </c>
      <c r="E594">
        <v>17.92</v>
      </c>
      <c r="F594">
        <v>3.5</v>
      </c>
      <c r="G594">
        <f t="shared" si="11"/>
        <v>11.68</v>
      </c>
      <c r="H594">
        <v>1</v>
      </c>
    </row>
    <row r="595" spans="2:8">
      <c r="B595" s="14">
        <v>45607</v>
      </c>
      <c r="C595" t="s">
        <v>59</v>
      </c>
      <c r="D595">
        <f>VLOOKUP(C595,成本价!$C$2:$D$59,2,0)*H595</f>
        <v>8.7</v>
      </c>
      <c r="E595">
        <v>21.43</v>
      </c>
      <c r="F595">
        <v>3.5</v>
      </c>
      <c r="G595">
        <f t="shared" si="11"/>
        <v>12.73</v>
      </c>
      <c r="H595">
        <v>1</v>
      </c>
    </row>
    <row r="596" spans="2:8">
      <c r="B596" s="14">
        <v>45607</v>
      </c>
      <c r="C596" t="s">
        <v>61</v>
      </c>
      <c r="D596">
        <f>VLOOKUP(C596,成本价!$C$2:$D$59,2,0)*H596</f>
        <v>20.1</v>
      </c>
      <c r="E596">
        <v>60.32</v>
      </c>
      <c r="F596">
        <v>3.5</v>
      </c>
      <c r="G596">
        <f t="shared" si="11"/>
        <v>40.22</v>
      </c>
      <c r="H596">
        <v>1</v>
      </c>
    </row>
    <row r="597" spans="2:8">
      <c r="B597" s="14">
        <v>45607</v>
      </c>
      <c r="C597" t="s">
        <v>68</v>
      </c>
      <c r="D597">
        <f>VLOOKUP(C597,成本价!$C$2:$D$59,2,0)*H597</f>
        <v>18</v>
      </c>
      <c r="E597">
        <v>0</v>
      </c>
      <c r="G597">
        <f t="shared" si="11"/>
        <v>-18</v>
      </c>
      <c r="H597">
        <v>1</v>
      </c>
    </row>
    <row r="598" spans="2:8">
      <c r="B598" s="14">
        <v>45607</v>
      </c>
      <c r="C598" t="s">
        <v>23</v>
      </c>
      <c r="D598">
        <f>VLOOKUP(C598,成本价!$C$2:$D$59,2,0)*H598</f>
        <v>2.08</v>
      </c>
      <c r="E598">
        <v>26.24</v>
      </c>
      <c r="F598">
        <v>3.5</v>
      </c>
      <c r="G598">
        <f t="shared" si="11"/>
        <v>24.16</v>
      </c>
      <c r="H598">
        <v>1</v>
      </c>
    </row>
    <row r="599" spans="2:8">
      <c r="B599" s="14">
        <v>45607</v>
      </c>
      <c r="C599" t="s">
        <v>52</v>
      </c>
      <c r="D599">
        <f>VLOOKUP(C599,成本价!$C$2:$D$59,2,0)*H599</f>
        <v>10.96</v>
      </c>
      <c r="E599">
        <v>0</v>
      </c>
      <c r="G599">
        <f t="shared" si="11"/>
        <v>-10.96</v>
      </c>
      <c r="H599">
        <v>1</v>
      </c>
    </row>
    <row r="600" spans="2:8">
      <c r="B600" s="14">
        <v>45607</v>
      </c>
      <c r="C600" t="s">
        <v>40</v>
      </c>
      <c r="D600">
        <f>VLOOKUP(C600,成本价!$C$2:$D$59,2,0)*H600</f>
        <v>1.88</v>
      </c>
      <c r="E600">
        <v>8.46</v>
      </c>
      <c r="F600">
        <v>3.5</v>
      </c>
      <c r="G600">
        <f t="shared" si="11"/>
        <v>6.58</v>
      </c>
      <c r="H600">
        <v>1</v>
      </c>
    </row>
    <row r="601" spans="2:8">
      <c r="B601" s="14">
        <v>45607</v>
      </c>
      <c r="C601" t="s">
        <v>23</v>
      </c>
      <c r="D601">
        <f>VLOOKUP(C601,成本价!$C$2:$D$59,2,0)*H601</f>
        <v>6.24</v>
      </c>
      <c r="E601">
        <v>35.58</v>
      </c>
      <c r="F601">
        <v>3.5</v>
      </c>
      <c r="G601">
        <f t="shared" si="11"/>
        <v>29.34</v>
      </c>
      <c r="H601">
        <v>3</v>
      </c>
    </row>
    <row r="602" spans="2:8">
      <c r="B602" s="14">
        <v>45607</v>
      </c>
      <c r="C602" t="s">
        <v>28</v>
      </c>
      <c r="D602">
        <f>VLOOKUP(C602,成本价!$C$2:$D$59,2,0)*H602</f>
        <v>4.44</v>
      </c>
      <c r="E602">
        <v>0</v>
      </c>
      <c r="G602">
        <f t="shared" si="11"/>
        <v>-4.44</v>
      </c>
      <c r="H602">
        <v>2</v>
      </c>
    </row>
    <row r="603" spans="2:8">
      <c r="B603" s="14">
        <v>45607</v>
      </c>
      <c r="C603" t="s">
        <v>55</v>
      </c>
      <c r="D603">
        <f>VLOOKUP(C603,成本价!$C$2:$D$59,2,0)*H603</f>
        <v>1.171</v>
      </c>
      <c r="E603">
        <v>13.11</v>
      </c>
      <c r="F603">
        <v>3.5</v>
      </c>
      <c r="G603">
        <f t="shared" si="11"/>
        <v>11.939</v>
      </c>
      <c r="H603">
        <v>1</v>
      </c>
    </row>
    <row r="604" spans="2:8">
      <c r="B604" s="14">
        <v>45607</v>
      </c>
      <c r="C604" t="s">
        <v>33</v>
      </c>
      <c r="D604">
        <f>VLOOKUP(C604,成本价!$C$2:$D$59,2,0)*H604</f>
        <v>1.7</v>
      </c>
      <c r="E604">
        <v>6.7</v>
      </c>
      <c r="F604">
        <v>3.5</v>
      </c>
      <c r="G604">
        <f t="shared" si="11"/>
        <v>5</v>
      </c>
      <c r="H604">
        <v>1</v>
      </c>
    </row>
    <row r="605" spans="2:8">
      <c r="B605" s="14">
        <v>45607</v>
      </c>
      <c r="C605" t="s">
        <v>64</v>
      </c>
      <c r="D605">
        <f>VLOOKUP(C605,成本价!$C$2:$D$59,2,0)*H605</f>
        <v>6.38</v>
      </c>
      <c r="E605">
        <v>16.7</v>
      </c>
      <c r="F605">
        <v>3.5</v>
      </c>
      <c r="G605">
        <f t="shared" si="11"/>
        <v>10.32</v>
      </c>
      <c r="H605">
        <v>1</v>
      </c>
    </row>
    <row r="606" spans="2:8">
      <c r="B606" s="14">
        <v>45607</v>
      </c>
      <c r="C606" t="s">
        <v>69</v>
      </c>
      <c r="D606">
        <f>VLOOKUP(C606,成本价!$C$2:$D$59,2,0)*H606</f>
        <v>17.12</v>
      </c>
      <c r="E606">
        <v>41.5</v>
      </c>
      <c r="F606">
        <v>3.5</v>
      </c>
      <c r="G606">
        <f t="shared" si="11"/>
        <v>24.38</v>
      </c>
      <c r="H606">
        <v>1</v>
      </c>
    </row>
    <row r="607" spans="2:8">
      <c r="B607" s="14">
        <v>45607</v>
      </c>
      <c r="C607" t="s">
        <v>64</v>
      </c>
      <c r="D607">
        <f>VLOOKUP(C607,成本价!$C$2:$D$59,2,0)*H607</f>
        <v>6.38</v>
      </c>
      <c r="E607">
        <v>21.24</v>
      </c>
      <c r="F607">
        <v>3.5</v>
      </c>
      <c r="G607">
        <f t="shared" si="11"/>
        <v>14.86</v>
      </c>
      <c r="H607">
        <v>1</v>
      </c>
    </row>
    <row r="608" spans="2:8">
      <c r="B608" s="14">
        <v>45607</v>
      </c>
      <c r="C608" t="s">
        <v>55</v>
      </c>
      <c r="D608">
        <f>VLOOKUP(C608,成本价!$C$2:$D$59,2,0)*H608</f>
        <v>3.513</v>
      </c>
      <c r="E608">
        <v>11.9</v>
      </c>
      <c r="F608">
        <v>3.5</v>
      </c>
      <c r="G608">
        <f t="shared" si="11"/>
        <v>8.387</v>
      </c>
      <c r="H608">
        <v>3</v>
      </c>
    </row>
    <row r="609" spans="2:8">
      <c r="B609" s="14">
        <v>45607</v>
      </c>
      <c r="C609" t="s">
        <v>33</v>
      </c>
      <c r="D609">
        <f>VLOOKUP(C609,成本价!$C$2:$D$59,2,0)*H609</f>
        <v>1.7</v>
      </c>
      <c r="E609">
        <v>6.38</v>
      </c>
      <c r="F609">
        <v>3.5</v>
      </c>
      <c r="G609">
        <f t="shared" si="11"/>
        <v>4.68</v>
      </c>
      <c r="H609">
        <v>1</v>
      </c>
    </row>
    <row r="610" spans="2:8">
      <c r="B610" s="14">
        <v>45607</v>
      </c>
      <c r="C610" t="s">
        <v>49</v>
      </c>
      <c r="D610">
        <f>VLOOKUP(C610,成本价!$C$2:$D$59,2,0)*H610</f>
        <v>1.975</v>
      </c>
      <c r="E610">
        <v>10.5</v>
      </c>
      <c r="F610">
        <v>3.5</v>
      </c>
      <c r="G610">
        <f t="shared" si="11"/>
        <v>8.525</v>
      </c>
      <c r="H610">
        <v>1</v>
      </c>
    </row>
    <row r="611" spans="2:8">
      <c r="B611" s="14">
        <v>45607</v>
      </c>
      <c r="C611" t="s">
        <v>33</v>
      </c>
      <c r="D611">
        <f>VLOOKUP(C611,成本价!$C$2:$D$59,2,0)*H611</f>
        <v>3.4</v>
      </c>
      <c r="E611">
        <f>5.38+6.38</f>
        <v>11.76</v>
      </c>
      <c r="F611">
        <v>3.5</v>
      </c>
      <c r="G611">
        <f t="shared" si="11"/>
        <v>8.36</v>
      </c>
      <c r="H611">
        <v>2</v>
      </c>
    </row>
    <row r="612" spans="2:8">
      <c r="B612" s="14">
        <v>45607</v>
      </c>
      <c r="C612" t="s">
        <v>27</v>
      </c>
      <c r="D612">
        <f>VLOOKUP(C612,成本价!$C$2:$D$59,2,0)*H612</f>
        <v>1.8</v>
      </c>
      <c r="E612">
        <v>5.38</v>
      </c>
      <c r="F612">
        <v>0</v>
      </c>
      <c r="G612">
        <f t="shared" si="11"/>
        <v>3.58</v>
      </c>
      <c r="H612">
        <v>1</v>
      </c>
    </row>
    <row r="613" spans="2:8">
      <c r="B613" s="14">
        <v>45607</v>
      </c>
      <c r="C613" t="s">
        <v>36</v>
      </c>
      <c r="D613">
        <f>VLOOKUP(C613,成本价!$C$2:$D$59,2,0)*H613</f>
        <v>2.32</v>
      </c>
      <c r="E613">
        <v>7.92</v>
      </c>
      <c r="F613">
        <v>3.5</v>
      </c>
      <c r="G613">
        <f t="shared" si="11"/>
        <v>5.6</v>
      </c>
      <c r="H613">
        <v>1</v>
      </c>
    </row>
    <row r="614" spans="2:8">
      <c r="B614" s="14">
        <v>45607</v>
      </c>
      <c r="C614" t="s">
        <v>23</v>
      </c>
      <c r="D614">
        <f>VLOOKUP(C614,成本价!$C$2:$D$59,2,0)*H614</f>
        <v>2.08</v>
      </c>
      <c r="E614">
        <v>6.89</v>
      </c>
      <c r="F614">
        <v>3.5</v>
      </c>
      <c r="G614">
        <f t="shared" si="11"/>
        <v>4.81</v>
      </c>
      <c r="H614">
        <v>1</v>
      </c>
    </row>
    <row r="615" spans="2:8">
      <c r="B615" s="14">
        <v>45607</v>
      </c>
      <c r="C615" t="s">
        <v>60</v>
      </c>
      <c r="D615">
        <f>VLOOKUP(C615,成本价!$C$2:$D$59,2,0)*H615</f>
        <v>5.2</v>
      </c>
      <c r="E615">
        <v>17.5</v>
      </c>
      <c r="F615">
        <v>3.5</v>
      </c>
      <c r="G615">
        <f t="shared" si="11"/>
        <v>12.3</v>
      </c>
      <c r="H615">
        <v>1</v>
      </c>
    </row>
    <row r="616" spans="2:8">
      <c r="B616" s="14">
        <v>45607</v>
      </c>
      <c r="C616" t="s">
        <v>70</v>
      </c>
      <c r="D616">
        <f>VLOOKUP(C616,成本价!$C$2:$D$59,2,0)*H616</f>
        <v>13.72</v>
      </c>
      <c r="E616">
        <v>40.6</v>
      </c>
      <c r="F616">
        <v>3.5</v>
      </c>
      <c r="G616">
        <f t="shared" si="11"/>
        <v>26.88</v>
      </c>
      <c r="H616">
        <v>1</v>
      </c>
    </row>
    <row r="617" spans="2:8">
      <c r="B617" s="14">
        <v>45607</v>
      </c>
      <c r="C617" t="s">
        <v>12</v>
      </c>
      <c r="D617">
        <f>VLOOKUP(C617,成本价!$C$2:$D$59,2,0)*H617</f>
        <v>1.548</v>
      </c>
      <c r="E617">
        <v>8.4</v>
      </c>
      <c r="F617">
        <v>3.5</v>
      </c>
      <c r="G617">
        <f t="shared" si="11"/>
        <v>6.852</v>
      </c>
      <c r="H617">
        <v>4</v>
      </c>
    </row>
    <row r="618" spans="2:8">
      <c r="B618" s="14">
        <v>45607</v>
      </c>
      <c r="C618" t="s">
        <v>23</v>
      </c>
      <c r="D618">
        <f>VLOOKUP(C618,成本价!$C$2:$D$59,2,0)*H618</f>
        <v>3.12</v>
      </c>
      <c r="E618">
        <v>6.21</v>
      </c>
      <c r="F618">
        <v>3.5</v>
      </c>
      <c r="G618">
        <f t="shared" si="11"/>
        <v>3.09</v>
      </c>
      <c r="H618">
        <v>1.5</v>
      </c>
    </row>
    <row r="619" spans="2:8">
      <c r="B619" s="14">
        <v>45607</v>
      </c>
      <c r="C619" t="s">
        <v>37</v>
      </c>
      <c r="D619">
        <f>VLOOKUP(C619,成本价!$C$2:$D$59,2,0)*H619</f>
        <v>3.81</v>
      </c>
      <c r="E619">
        <v>6.21</v>
      </c>
      <c r="F619">
        <v>3.5</v>
      </c>
      <c r="G619">
        <f t="shared" si="11"/>
        <v>2.4</v>
      </c>
      <c r="H619">
        <v>1.5</v>
      </c>
    </row>
    <row r="620" spans="2:8">
      <c r="B620" s="14">
        <v>45607</v>
      </c>
      <c r="C620" t="s">
        <v>16</v>
      </c>
      <c r="D620">
        <f>VLOOKUP(C620,成本价!$C$2:$D$59,2,0)*H620</f>
        <v>2.7</v>
      </c>
      <c r="E620">
        <v>27.49</v>
      </c>
      <c r="F620">
        <v>3.5</v>
      </c>
      <c r="G620">
        <f t="shared" si="11"/>
        <v>24.79</v>
      </c>
      <c r="H620">
        <v>1</v>
      </c>
    </row>
    <row r="621" spans="2:8">
      <c r="B621" s="14">
        <v>45607</v>
      </c>
      <c r="C621" t="s">
        <v>20</v>
      </c>
      <c r="D621">
        <f>VLOOKUP(C621,成本价!$C$2:$D$59,2,0)*H621</f>
        <v>12</v>
      </c>
      <c r="G621">
        <f t="shared" si="11"/>
        <v>-12</v>
      </c>
      <c r="H621">
        <v>4</v>
      </c>
    </row>
    <row r="622" spans="2:8">
      <c r="B622" s="14">
        <v>45607</v>
      </c>
      <c r="C622" t="s">
        <v>43</v>
      </c>
      <c r="D622">
        <f>VLOOKUP(C622,成本价!$C$2:$D$59,2,0)*H622</f>
        <v>2.02</v>
      </c>
      <c r="E622">
        <v>6.89</v>
      </c>
      <c r="F622">
        <v>3.5</v>
      </c>
      <c r="G622">
        <f t="shared" si="11"/>
        <v>4.87</v>
      </c>
      <c r="H622">
        <v>1</v>
      </c>
    </row>
    <row r="623" spans="2:8">
      <c r="B623" s="14">
        <v>45607</v>
      </c>
      <c r="C623" t="s">
        <v>71</v>
      </c>
      <c r="D623">
        <f>VLOOKUP(C623,成本价!$C$2:$D$59,2,0)*H623</f>
        <v>3.573</v>
      </c>
      <c r="E623">
        <v>13.11</v>
      </c>
      <c r="F623">
        <v>3.5</v>
      </c>
      <c r="G623">
        <f t="shared" si="11"/>
        <v>9.537</v>
      </c>
      <c r="H623">
        <v>3</v>
      </c>
    </row>
    <row r="624" spans="2:8">
      <c r="B624" s="14">
        <v>45607</v>
      </c>
      <c r="C624" t="s">
        <v>12</v>
      </c>
      <c r="D624">
        <f>VLOOKUP(C624,成本价!$C$2:$D$59,2,0)*H624</f>
        <v>0.774</v>
      </c>
      <c r="G624">
        <f t="shared" si="11"/>
        <v>-0.774</v>
      </c>
      <c r="H624">
        <v>2</v>
      </c>
    </row>
    <row r="625" spans="2:8">
      <c r="B625" s="14">
        <v>45607</v>
      </c>
      <c r="C625" t="s">
        <v>55</v>
      </c>
      <c r="D625">
        <f>VLOOKUP(C625,成本价!$C$2:$D$59,2,0)*H625</f>
        <v>3.513</v>
      </c>
      <c r="E625">
        <v>13.11</v>
      </c>
      <c r="F625">
        <v>3.5</v>
      </c>
      <c r="G625">
        <f t="shared" si="11"/>
        <v>9.597</v>
      </c>
      <c r="H625">
        <v>3</v>
      </c>
    </row>
    <row r="626" spans="2:8">
      <c r="B626" s="14">
        <v>45607</v>
      </c>
      <c r="C626" t="s">
        <v>43</v>
      </c>
      <c r="D626">
        <f>VLOOKUP(C626,成本价!$C$2:$D$59,2,0)*H626</f>
        <v>2.02</v>
      </c>
      <c r="E626">
        <v>6.89</v>
      </c>
      <c r="F626">
        <v>3.5</v>
      </c>
      <c r="G626">
        <f t="shared" si="11"/>
        <v>4.87</v>
      </c>
      <c r="H626">
        <v>1</v>
      </c>
    </row>
    <row r="627" spans="2:8">
      <c r="B627" s="14">
        <v>45607</v>
      </c>
      <c r="C627" t="s">
        <v>33</v>
      </c>
      <c r="D627">
        <f>VLOOKUP(C627,成本价!$C$2:$D$59,2,0)*H627</f>
        <v>2.55</v>
      </c>
      <c r="E627">
        <v>6.21</v>
      </c>
      <c r="F627">
        <v>3.5</v>
      </c>
      <c r="G627">
        <f t="shared" si="11"/>
        <v>3.66</v>
      </c>
      <c r="H627">
        <v>1.5</v>
      </c>
    </row>
    <row r="628" spans="2:8">
      <c r="B628" s="14">
        <v>45607</v>
      </c>
      <c r="C628" t="s">
        <v>33</v>
      </c>
      <c r="D628">
        <f>VLOOKUP(C628,成本价!$C$2:$D$59,2,0)*H628</f>
        <v>3.4</v>
      </c>
      <c r="E628">
        <v>16.5</v>
      </c>
      <c r="F628">
        <v>3.5</v>
      </c>
      <c r="G628">
        <f t="shared" si="11"/>
        <v>13.1</v>
      </c>
      <c r="H628">
        <v>2</v>
      </c>
    </row>
    <row r="629" spans="2:8">
      <c r="B629" s="14">
        <v>45607</v>
      </c>
      <c r="C629" t="s">
        <v>27</v>
      </c>
      <c r="D629">
        <f>VLOOKUP(C629,成本价!$C$2:$D$59,2,0)*H629</f>
        <v>1.8</v>
      </c>
      <c r="G629">
        <f t="shared" si="11"/>
        <v>-1.8</v>
      </c>
      <c r="H629">
        <v>1</v>
      </c>
    </row>
    <row r="630" spans="2:8">
      <c r="B630" s="14">
        <v>45607</v>
      </c>
      <c r="C630" t="s">
        <v>40</v>
      </c>
      <c r="D630">
        <f>VLOOKUP(C630,成本价!$C$2:$D$59,2,0)*H630</f>
        <v>2.82</v>
      </c>
      <c r="E630">
        <v>6.21</v>
      </c>
      <c r="F630">
        <v>3.5</v>
      </c>
      <c r="G630">
        <f t="shared" si="11"/>
        <v>3.39</v>
      </c>
      <c r="H630">
        <v>1.5</v>
      </c>
    </row>
    <row r="631" spans="2:8">
      <c r="B631" s="14">
        <v>45607</v>
      </c>
      <c r="C631" t="s">
        <v>27</v>
      </c>
      <c r="D631">
        <f>VLOOKUP(C631,成本价!$C$2:$D$59,2,0)*H631</f>
        <v>1.8</v>
      </c>
      <c r="E631">
        <v>6.05</v>
      </c>
      <c r="F631">
        <v>3.5</v>
      </c>
      <c r="G631">
        <f t="shared" si="11"/>
        <v>4.25</v>
      </c>
      <c r="H631">
        <v>1</v>
      </c>
    </row>
    <row r="632" spans="2:8">
      <c r="B632" s="14">
        <v>45607</v>
      </c>
      <c r="C632" t="s">
        <v>27</v>
      </c>
      <c r="D632">
        <f>VLOOKUP(C632,成本价!$C$2:$D$59,2,0)*H632</f>
        <v>1.8</v>
      </c>
      <c r="E632">
        <v>6.05</v>
      </c>
      <c r="F632">
        <v>0</v>
      </c>
      <c r="G632">
        <f t="shared" si="11"/>
        <v>4.25</v>
      </c>
      <c r="H632">
        <v>1</v>
      </c>
    </row>
    <row r="633" spans="2:8">
      <c r="B633" s="14">
        <v>45607</v>
      </c>
      <c r="C633" t="s">
        <v>33</v>
      </c>
      <c r="D633">
        <f>VLOOKUP(C633,成本价!$C$2:$D$59,2,0)*H633</f>
        <v>1.7</v>
      </c>
      <c r="E633">
        <v>6.04</v>
      </c>
      <c r="F633">
        <v>0</v>
      </c>
      <c r="G633">
        <f t="shared" si="11"/>
        <v>4.34</v>
      </c>
      <c r="H633">
        <v>1</v>
      </c>
    </row>
    <row r="634" spans="2:8">
      <c r="B634" s="14">
        <v>45607</v>
      </c>
      <c r="C634" t="s">
        <v>27</v>
      </c>
      <c r="D634">
        <f>VLOOKUP(C634,成本价!$C$2:$D$59,2,0)*H634</f>
        <v>1.8</v>
      </c>
      <c r="E634">
        <v>5.88</v>
      </c>
      <c r="F634">
        <v>0</v>
      </c>
      <c r="G634">
        <f t="shared" si="11"/>
        <v>4.08</v>
      </c>
      <c r="H634">
        <v>1</v>
      </c>
    </row>
    <row r="635" spans="2:8">
      <c r="B635" s="14">
        <v>45607</v>
      </c>
      <c r="C635" t="s">
        <v>27</v>
      </c>
      <c r="D635">
        <f>VLOOKUP(C635,成本价!$C$2:$D$59,2,0)*H635</f>
        <v>1.8</v>
      </c>
      <c r="E635">
        <v>5.88</v>
      </c>
      <c r="F635">
        <v>0</v>
      </c>
      <c r="G635">
        <f t="shared" si="11"/>
        <v>4.08</v>
      </c>
      <c r="H635">
        <v>1</v>
      </c>
    </row>
    <row r="636" spans="2:8">
      <c r="B636" s="14">
        <v>45607</v>
      </c>
      <c r="C636" t="s">
        <v>50</v>
      </c>
      <c r="D636">
        <f>VLOOKUP(C636,成本价!$C$2:$D$59,2,0)*H636</f>
        <v>2.749</v>
      </c>
      <c r="E636">
        <v>11.2</v>
      </c>
      <c r="F636">
        <v>3.5</v>
      </c>
      <c r="G636">
        <f t="shared" si="11"/>
        <v>8.451</v>
      </c>
      <c r="H636">
        <v>1</v>
      </c>
    </row>
    <row r="637" spans="2:8">
      <c r="B637" s="14">
        <v>45607</v>
      </c>
      <c r="C637" t="s">
        <v>54</v>
      </c>
      <c r="D637">
        <f>VLOOKUP(C637,成本价!$C$2:$D$59,2,0)*H637</f>
        <v>14.7</v>
      </c>
      <c r="E637">
        <v>27.4</v>
      </c>
      <c r="G637">
        <f t="shared" si="11"/>
        <v>12.7</v>
      </c>
      <c r="H637">
        <v>1</v>
      </c>
    </row>
    <row r="638" spans="2:8">
      <c r="B638" s="14">
        <v>45607</v>
      </c>
      <c r="C638" t="s">
        <v>27</v>
      </c>
      <c r="D638">
        <f>VLOOKUP(C638,成本价!$C$2:$D$59,2,0)*H638</f>
        <v>2.7</v>
      </c>
      <c r="E638">
        <v>5.88</v>
      </c>
      <c r="F638">
        <v>3.5</v>
      </c>
      <c r="G638">
        <f t="shared" si="11"/>
        <v>3.18</v>
      </c>
      <c r="H638">
        <v>1.5</v>
      </c>
    </row>
    <row r="639" spans="2:8">
      <c r="B639" s="14">
        <v>45607</v>
      </c>
      <c r="C639" t="s">
        <v>27</v>
      </c>
      <c r="D639">
        <f>VLOOKUP(C639,成本价!$C$2:$D$59,2,0)*H639</f>
        <v>2.7</v>
      </c>
      <c r="E639">
        <v>5.88</v>
      </c>
      <c r="F639">
        <v>0</v>
      </c>
      <c r="G639">
        <f t="shared" si="11"/>
        <v>3.18</v>
      </c>
      <c r="H639">
        <v>1.5</v>
      </c>
    </row>
    <row r="640" spans="2:8">
      <c r="B640" s="14">
        <v>45607</v>
      </c>
      <c r="C640" t="s">
        <v>33</v>
      </c>
      <c r="D640">
        <f>VLOOKUP(C640,成本价!$C$2:$D$59,2,0)*H640</f>
        <v>2.55</v>
      </c>
      <c r="E640">
        <v>5.87</v>
      </c>
      <c r="F640">
        <v>0</v>
      </c>
      <c r="G640">
        <f t="shared" si="11"/>
        <v>3.32</v>
      </c>
      <c r="H640">
        <v>1.5</v>
      </c>
    </row>
    <row r="641" spans="2:8">
      <c r="B641" s="14">
        <v>45607</v>
      </c>
      <c r="C641" t="s">
        <v>50</v>
      </c>
      <c r="D641">
        <f>VLOOKUP(C641,成本价!$C$2:$D$59,2,0)*H641</f>
        <v>2.749</v>
      </c>
      <c r="E641">
        <v>11.19</v>
      </c>
      <c r="F641">
        <v>3.5</v>
      </c>
      <c r="G641">
        <f t="shared" si="11"/>
        <v>8.441</v>
      </c>
      <c r="H641">
        <v>1</v>
      </c>
    </row>
    <row r="642" spans="2:8">
      <c r="B642" s="14">
        <v>45607</v>
      </c>
      <c r="C642" t="s">
        <v>12</v>
      </c>
      <c r="D642">
        <f>VLOOKUP(C642,成本价!$C$2:$D$59,2,0)*H642</f>
        <v>1.935</v>
      </c>
      <c r="G642">
        <f t="shared" si="11"/>
        <v>-1.935</v>
      </c>
      <c r="H642">
        <v>5</v>
      </c>
    </row>
    <row r="643" spans="2:8">
      <c r="B643" s="14">
        <v>45607</v>
      </c>
      <c r="C643" t="s">
        <v>12</v>
      </c>
      <c r="D643">
        <f>VLOOKUP(C643,成本价!$C$2:$D$59,2,0)*H643</f>
        <v>0.387</v>
      </c>
      <c r="E643">
        <v>4.94</v>
      </c>
      <c r="F643">
        <v>3.5</v>
      </c>
      <c r="G643">
        <f t="shared" si="11"/>
        <v>4.553</v>
      </c>
      <c r="H643">
        <v>1</v>
      </c>
    </row>
    <row r="644" spans="2:8">
      <c r="B644" s="14">
        <v>45607</v>
      </c>
      <c r="C644" t="s">
        <v>55</v>
      </c>
      <c r="D644">
        <f>VLOOKUP(C644,成本价!$C$2:$D$59,2,0)*H644</f>
        <v>3.513</v>
      </c>
      <c r="E644">
        <v>11.9</v>
      </c>
      <c r="F644">
        <v>3.5</v>
      </c>
      <c r="G644">
        <f t="shared" si="11"/>
        <v>8.387</v>
      </c>
      <c r="H644">
        <v>3</v>
      </c>
    </row>
    <row r="645" spans="2:8">
      <c r="B645" s="14">
        <v>45607</v>
      </c>
      <c r="C645" t="s">
        <v>56</v>
      </c>
      <c r="D645">
        <f>VLOOKUP(C645,成本价!$C$2:$D$59,2,0)*H645</f>
        <v>3.483</v>
      </c>
      <c r="E645">
        <v>11.9</v>
      </c>
      <c r="F645">
        <v>3.5</v>
      </c>
      <c r="G645">
        <f t="shared" ref="G645:G701" si="12">E645-D645</f>
        <v>8.417</v>
      </c>
      <c r="H645">
        <v>3</v>
      </c>
    </row>
    <row r="646" spans="2:8">
      <c r="B646" s="14">
        <v>45607</v>
      </c>
      <c r="C646" t="s">
        <v>33</v>
      </c>
      <c r="D646">
        <f>VLOOKUP(C646,成本价!$C$2:$D$59,2,0)*H646</f>
        <v>2.55</v>
      </c>
      <c r="E646">
        <v>6.21</v>
      </c>
      <c r="F646">
        <v>3.5</v>
      </c>
      <c r="G646">
        <f t="shared" si="12"/>
        <v>3.66</v>
      </c>
      <c r="H646">
        <v>1.5</v>
      </c>
    </row>
    <row r="647" spans="2:8">
      <c r="B647" s="14">
        <v>45607</v>
      </c>
      <c r="C647" t="s">
        <v>33</v>
      </c>
      <c r="D647">
        <f>VLOOKUP(C647,成本价!$C$2:$D$59,2,0)*H647</f>
        <v>1.7</v>
      </c>
      <c r="E647">
        <v>6.38</v>
      </c>
      <c r="F647">
        <v>3.5</v>
      </c>
      <c r="G647">
        <f t="shared" si="12"/>
        <v>4.68</v>
      </c>
      <c r="H647">
        <v>1</v>
      </c>
    </row>
    <row r="648" spans="2:8">
      <c r="B648" s="14">
        <v>45607</v>
      </c>
      <c r="C648" t="s">
        <v>64</v>
      </c>
      <c r="D648">
        <f>VLOOKUP(C648,成本价!$C$2:$D$59,2,0)*H648</f>
        <v>6.38</v>
      </c>
      <c r="E648">
        <v>16.7</v>
      </c>
      <c r="F648">
        <v>3.5</v>
      </c>
      <c r="G648">
        <f t="shared" si="12"/>
        <v>10.32</v>
      </c>
      <c r="H648">
        <v>1</v>
      </c>
    </row>
    <row r="649" spans="2:8">
      <c r="B649" s="14">
        <v>45607</v>
      </c>
      <c r="C649" t="s">
        <v>57</v>
      </c>
      <c r="D649">
        <f>VLOOKUP(C649,成本价!$C$2:$D$59,2,0)*H649</f>
        <v>8.9</v>
      </c>
      <c r="E649">
        <v>27.9</v>
      </c>
      <c r="F649">
        <v>3.5</v>
      </c>
      <c r="G649">
        <f t="shared" si="12"/>
        <v>19</v>
      </c>
      <c r="H649">
        <v>1</v>
      </c>
    </row>
    <row r="650" spans="2:9">
      <c r="B650" s="14">
        <v>45607</v>
      </c>
      <c r="I650">
        <f>222.86-21+11.39</f>
        <v>213.25</v>
      </c>
    </row>
    <row r="651" spans="2:8">
      <c r="B651" s="29">
        <v>45608</v>
      </c>
      <c r="C651" t="s">
        <v>33</v>
      </c>
      <c r="D651">
        <f>VLOOKUP(C651,成本价!$C$2:$D$59,2,0)*H651</f>
        <v>1.7</v>
      </c>
      <c r="E651">
        <v>26.9</v>
      </c>
      <c r="F651">
        <v>3.5</v>
      </c>
      <c r="G651">
        <f t="shared" si="12"/>
        <v>25.2</v>
      </c>
      <c r="H651">
        <v>1</v>
      </c>
    </row>
    <row r="652" spans="2:8">
      <c r="B652" s="3">
        <v>45608</v>
      </c>
      <c r="C652" t="s">
        <v>27</v>
      </c>
      <c r="D652">
        <f>VLOOKUP(C652,成本价!$C$2:$D$59,2,0)*H652</f>
        <v>7.2</v>
      </c>
      <c r="E652">
        <v>0</v>
      </c>
      <c r="F652">
        <v>0</v>
      </c>
      <c r="G652">
        <f t="shared" si="12"/>
        <v>-7.2</v>
      </c>
      <c r="H652">
        <v>4</v>
      </c>
    </row>
    <row r="653" spans="2:8">
      <c r="B653" s="3">
        <v>45608</v>
      </c>
      <c r="C653" t="s">
        <v>40</v>
      </c>
      <c r="D653">
        <f>VLOOKUP(C653,成本价!$C$2:$D$59,2,0)*H653</f>
        <v>2.82</v>
      </c>
      <c r="E653">
        <v>6.21</v>
      </c>
      <c r="F653">
        <v>3.5</v>
      </c>
      <c r="G653">
        <f t="shared" si="12"/>
        <v>3.39</v>
      </c>
      <c r="H653">
        <v>1.5</v>
      </c>
    </row>
    <row r="654" spans="2:8">
      <c r="B654" s="3">
        <v>45608</v>
      </c>
      <c r="C654" t="s">
        <v>40</v>
      </c>
      <c r="D654">
        <f>VLOOKUP(C654,成本价!$C$2:$D$59,2,0)*H654</f>
        <v>1.88</v>
      </c>
      <c r="E654">
        <v>6.89</v>
      </c>
      <c r="F654">
        <v>0</v>
      </c>
      <c r="G654">
        <f t="shared" si="12"/>
        <v>5.01</v>
      </c>
      <c r="H654">
        <v>1</v>
      </c>
    </row>
    <row r="655" spans="2:8">
      <c r="B655" s="3">
        <v>45608</v>
      </c>
      <c r="C655" t="s">
        <v>40</v>
      </c>
      <c r="D655">
        <f>VLOOKUP(C655,成本价!$C$2:$D$59,2,0)*H655</f>
        <v>1.88</v>
      </c>
      <c r="E655">
        <v>5.89</v>
      </c>
      <c r="F655">
        <v>0</v>
      </c>
      <c r="G655">
        <f t="shared" si="12"/>
        <v>4.01</v>
      </c>
      <c r="H655">
        <v>1</v>
      </c>
    </row>
    <row r="656" spans="2:8">
      <c r="B656" s="3">
        <v>45608</v>
      </c>
      <c r="C656" t="s">
        <v>40</v>
      </c>
      <c r="D656">
        <f>VLOOKUP(C656,成本价!$C$2:$D$59,2,0)*H656</f>
        <v>1.88</v>
      </c>
      <c r="E656">
        <v>5.89</v>
      </c>
      <c r="F656">
        <v>0</v>
      </c>
      <c r="G656">
        <f t="shared" si="12"/>
        <v>4.01</v>
      </c>
      <c r="H656">
        <v>1</v>
      </c>
    </row>
    <row r="657" spans="2:8">
      <c r="B657" s="3">
        <v>45608</v>
      </c>
      <c r="C657" t="s">
        <v>40</v>
      </c>
      <c r="D657">
        <f>VLOOKUP(C657,成本价!$C$2:$D$59,2,0)*H657</f>
        <v>2.82</v>
      </c>
      <c r="E657">
        <v>6.21</v>
      </c>
      <c r="F657">
        <v>0</v>
      </c>
      <c r="G657">
        <f t="shared" si="12"/>
        <v>3.39</v>
      </c>
      <c r="H657">
        <v>1.5</v>
      </c>
    </row>
    <row r="658" spans="2:8">
      <c r="B658" s="3">
        <v>45608</v>
      </c>
      <c r="C658" t="s">
        <v>55</v>
      </c>
      <c r="D658">
        <f>VLOOKUP(C658,成本价!$C$2:$D$59,2,0)*H658</f>
        <v>3.513</v>
      </c>
      <c r="E658">
        <v>11.9</v>
      </c>
      <c r="F658">
        <v>3.5</v>
      </c>
      <c r="G658">
        <f t="shared" si="12"/>
        <v>8.387</v>
      </c>
      <c r="H658">
        <v>3</v>
      </c>
    </row>
    <row r="659" spans="2:8">
      <c r="B659" s="3">
        <v>45608</v>
      </c>
      <c r="C659" t="s">
        <v>40</v>
      </c>
      <c r="D659">
        <f>VLOOKUP(C659,成本价!$C$2:$D$59,2,0)*H659</f>
        <v>2.82</v>
      </c>
      <c r="E659">
        <v>6.21</v>
      </c>
      <c r="F659">
        <v>3.5</v>
      </c>
      <c r="G659">
        <f t="shared" si="12"/>
        <v>3.39</v>
      </c>
      <c r="H659">
        <v>1.5</v>
      </c>
    </row>
    <row r="660" spans="2:8">
      <c r="B660" s="3">
        <v>45608</v>
      </c>
      <c r="C660" t="s">
        <v>43</v>
      </c>
      <c r="D660">
        <f>VLOOKUP(C660,成本价!$C$2:$D$59,2,0)*H660</f>
        <v>2.02</v>
      </c>
      <c r="E660">
        <v>5.89</v>
      </c>
      <c r="F660">
        <v>0</v>
      </c>
      <c r="G660">
        <f t="shared" si="12"/>
        <v>3.87</v>
      </c>
      <c r="H660">
        <v>1</v>
      </c>
    </row>
    <row r="661" spans="2:8">
      <c r="B661" s="3">
        <v>45608</v>
      </c>
      <c r="C661" t="s">
        <v>43</v>
      </c>
      <c r="D661">
        <f>VLOOKUP(C661,成本价!$C$2:$D$59,2,0)*H661</f>
        <v>3.03</v>
      </c>
      <c r="E661">
        <v>6.21</v>
      </c>
      <c r="F661">
        <v>0</v>
      </c>
      <c r="G661">
        <f t="shared" si="12"/>
        <v>3.18</v>
      </c>
      <c r="H661">
        <v>1.5</v>
      </c>
    </row>
    <row r="662" spans="2:8">
      <c r="B662" s="3">
        <v>45608</v>
      </c>
      <c r="C662" t="s">
        <v>49</v>
      </c>
      <c r="D662">
        <f>VLOOKUP(C662,成本价!$C$2:$D$59,2,0)*H662</f>
        <v>1.975</v>
      </c>
      <c r="E662">
        <v>10.5</v>
      </c>
      <c r="F662">
        <v>3.5</v>
      </c>
      <c r="G662">
        <f t="shared" si="12"/>
        <v>8.525</v>
      </c>
      <c r="H662">
        <v>1</v>
      </c>
    </row>
    <row r="663" spans="2:8">
      <c r="B663" s="3">
        <v>45608</v>
      </c>
      <c r="C663" t="s">
        <v>33</v>
      </c>
      <c r="D663">
        <f>VLOOKUP(C663,成本价!$C$2:$D$59,2,0)*H663</f>
        <v>1.7</v>
      </c>
      <c r="E663">
        <v>6.38</v>
      </c>
      <c r="F663">
        <v>3.5</v>
      </c>
      <c r="G663">
        <f t="shared" si="12"/>
        <v>4.68</v>
      </c>
      <c r="H663">
        <v>1</v>
      </c>
    </row>
    <row r="664" spans="2:8">
      <c r="B664" s="3">
        <v>45608</v>
      </c>
      <c r="C664" t="s">
        <v>27</v>
      </c>
      <c r="D664">
        <f>VLOOKUP(C664,成本价!$C$2:$D$59,2,0)*H664</f>
        <v>2.7</v>
      </c>
      <c r="E664">
        <v>6.21</v>
      </c>
      <c r="F664">
        <v>3.5</v>
      </c>
      <c r="G664">
        <f t="shared" si="12"/>
        <v>3.51</v>
      </c>
      <c r="H664">
        <v>1.5</v>
      </c>
    </row>
    <row r="665" spans="2:8">
      <c r="B665" s="3">
        <v>45608</v>
      </c>
      <c r="C665" t="s">
        <v>54</v>
      </c>
      <c r="D665">
        <f>VLOOKUP(C665,成本价!$C$2:$D$59,2,0)*H665</f>
        <v>14.7</v>
      </c>
      <c r="E665">
        <v>27.4</v>
      </c>
      <c r="F665">
        <v>3.5</v>
      </c>
      <c r="G665">
        <f t="shared" si="12"/>
        <v>12.7</v>
      </c>
      <c r="H665">
        <v>1</v>
      </c>
    </row>
    <row r="666" spans="2:8">
      <c r="B666" s="3">
        <v>45608</v>
      </c>
      <c r="C666" t="s">
        <v>12</v>
      </c>
      <c r="D666">
        <f>VLOOKUP(C666,成本价!$C$2:$D$59,2,0)*H666</f>
        <v>1.935</v>
      </c>
      <c r="E666">
        <v>11.4</v>
      </c>
      <c r="F666">
        <v>3.5</v>
      </c>
      <c r="G666">
        <f t="shared" si="12"/>
        <v>9.465</v>
      </c>
      <c r="H666">
        <v>5</v>
      </c>
    </row>
    <row r="667" spans="2:8">
      <c r="B667" s="3">
        <v>45608</v>
      </c>
      <c r="C667" t="s">
        <v>44</v>
      </c>
      <c r="D667">
        <f>VLOOKUP(C667,成本价!$C$2:$D$59,2,0)*H667</f>
        <v>1.191</v>
      </c>
      <c r="G667">
        <f t="shared" si="12"/>
        <v>-1.191</v>
      </c>
      <c r="H667">
        <v>3</v>
      </c>
    </row>
    <row r="668" spans="2:8">
      <c r="B668" s="3">
        <v>45608</v>
      </c>
      <c r="C668" t="s">
        <v>55</v>
      </c>
      <c r="D668">
        <f>VLOOKUP(C668,成本价!$C$2:$D$59,2,0)*H668</f>
        <v>3.513</v>
      </c>
      <c r="E668">
        <v>11.9</v>
      </c>
      <c r="F668">
        <v>3.5</v>
      </c>
      <c r="G668">
        <f t="shared" si="12"/>
        <v>8.387</v>
      </c>
      <c r="H668">
        <v>3</v>
      </c>
    </row>
    <row r="669" spans="2:8">
      <c r="B669" s="3">
        <v>45608</v>
      </c>
      <c r="C669" t="s">
        <v>27</v>
      </c>
      <c r="D669">
        <f>VLOOKUP(C669,成本价!$C$2:$D$59,2,0)*H669</f>
        <v>2.7</v>
      </c>
      <c r="E669">
        <v>5.87</v>
      </c>
      <c r="F669">
        <v>3.5</v>
      </c>
      <c r="G669">
        <f t="shared" si="12"/>
        <v>3.17</v>
      </c>
      <c r="H669">
        <v>1.5</v>
      </c>
    </row>
    <row r="670" spans="2:8">
      <c r="B670" s="3">
        <v>45608</v>
      </c>
      <c r="C670" t="s">
        <v>27</v>
      </c>
      <c r="D670">
        <f>VLOOKUP(C670,成本价!$C$2:$D$59,2,0)*H670</f>
        <v>2.7</v>
      </c>
      <c r="E670">
        <v>5.88</v>
      </c>
      <c r="F670">
        <v>0</v>
      </c>
      <c r="G670">
        <f t="shared" si="12"/>
        <v>3.18</v>
      </c>
      <c r="H670">
        <v>1.5</v>
      </c>
    </row>
    <row r="671" spans="2:8">
      <c r="B671" s="3">
        <v>45608</v>
      </c>
      <c r="C671" t="s">
        <v>33</v>
      </c>
      <c r="D671">
        <f>VLOOKUP(C671,成本价!$C$2:$D$59,2,0)*H671</f>
        <v>2.55</v>
      </c>
      <c r="E671">
        <v>5.88</v>
      </c>
      <c r="F671">
        <v>0</v>
      </c>
      <c r="G671">
        <f t="shared" si="12"/>
        <v>3.33</v>
      </c>
      <c r="H671">
        <v>1.5</v>
      </c>
    </row>
    <row r="672" spans="2:8">
      <c r="B672" s="3">
        <v>45608</v>
      </c>
      <c r="C672" t="s">
        <v>54</v>
      </c>
      <c r="D672">
        <f>VLOOKUP(C672,成本价!$C$2:$D$59,2,0)*H672</f>
        <v>14.7</v>
      </c>
      <c r="E672">
        <v>27.4</v>
      </c>
      <c r="F672">
        <v>3.5</v>
      </c>
      <c r="G672">
        <f t="shared" si="12"/>
        <v>12.7</v>
      </c>
      <c r="H672">
        <v>1</v>
      </c>
    </row>
    <row r="673" spans="2:8">
      <c r="B673" s="3">
        <v>45608</v>
      </c>
      <c r="C673" t="s">
        <v>12</v>
      </c>
      <c r="D673">
        <f>VLOOKUP(C673,成本价!$C$2:$D$59,2,0)*H673</f>
        <v>6.192</v>
      </c>
      <c r="E673">
        <v>18.6</v>
      </c>
      <c r="F673">
        <v>3.5</v>
      </c>
      <c r="G673">
        <f t="shared" si="12"/>
        <v>12.408</v>
      </c>
      <c r="H673">
        <v>16</v>
      </c>
    </row>
    <row r="674" spans="2:8">
      <c r="B674" s="3">
        <v>45608</v>
      </c>
      <c r="C674" t="s">
        <v>50</v>
      </c>
      <c r="D674">
        <f>VLOOKUP(C674,成本价!$C$2:$D$59,2,0)*H674</f>
        <v>2.749</v>
      </c>
      <c r="E674">
        <v>11.4</v>
      </c>
      <c r="F674">
        <v>3.5</v>
      </c>
      <c r="G674">
        <f t="shared" si="12"/>
        <v>8.651</v>
      </c>
      <c r="H674">
        <v>1</v>
      </c>
    </row>
    <row r="675" spans="2:8">
      <c r="B675" s="3">
        <v>45608</v>
      </c>
      <c r="C675" t="s">
        <v>43</v>
      </c>
      <c r="D675">
        <f>VLOOKUP(C675,成本价!$C$2:$D$59,2,0)*H675</f>
        <v>2.02</v>
      </c>
      <c r="E675">
        <v>6.89</v>
      </c>
      <c r="F675">
        <v>3.5</v>
      </c>
      <c r="G675">
        <f t="shared" si="12"/>
        <v>4.87</v>
      </c>
      <c r="H675">
        <v>1</v>
      </c>
    </row>
    <row r="676" spans="2:8">
      <c r="B676" s="3">
        <v>45608</v>
      </c>
      <c r="C676" t="s">
        <v>40</v>
      </c>
      <c r="D676">
        <f>VLOOKUP(C676,成本价!$C$2:$D$59,2,0)*H676</f>
        <v>2.82</v>
      </c>
      <c r="E676">
        <v>6.21</v>
      </c>
      <c r="F676">
        <v>0</v>
      </c>
      <c r="G676">
        <f t="shared" si="12"/>
        <v>3.39</v>
      </c>
      <c r="H676">
        <v>1.5</v>
      </c>
    </row>
    <row r="677" spans="2:8">
      <c r="B677" s="3">
        <v>45608</v>
      </c>
      <c r="C677" t="s">
        <v>40</v>
      </c>
      <c r="D677">
        <f>VLOOKUP(C677,成本价!$C$2:$D$59,2,0)*H677</f>
        <v>2.82</v>
      </c>
      <c r="E677">
        <v>6.21</v>
      </c>
      <c r="F677">
        <v>0</v>
      </c>
      <c r="G677">
        <f t="shared" si="12"/>
        <v>3.39</v>
      </c>
      <c r="H677">
        <v>1.5</v>
      </c>
    </row>
    <row r="678" spans="2:8">
      <c r="B678" s="3">
        <v>45608</v>
      </c>
      <c r="C678" t="s">
        <v>55</v>
      </c>
      <c r="D678">
        <f>VLOOKUP(C678,成本价!$C$2:$D$59,2,0)*H678</f>
        <v>3.513</v>
      </c>
      <c r="E678">
        <v>11.9</v>
      </c>
      <c r="F678">
        <v>3.5</v>
      </c>
      <c r="G678">
        <f t="shared" si="12"/>
        <v>8.387</v>
      </c>
      <c r="H678">
        <v>3</v>
      </c>
    </row>
    <row r="679" spans="2:8">
      <c r="B679" s="3">
        <v>45608</v>
      </c>
      <c r="C679" t="s">
        <v>55</v>
      </c>
      <c r="D679">
        <f>VLOOKUP(C679,成本价!$C$2:$D$59,2,0)*H679</f>
        <v>3.513</v>
      </c>
      <c r="E679">
        <v>31.7</v>
      </c>
      <c r="F679">
        <v>7</v>
      </c>
      <c r="G679">
        <f t="shared" si="12"/>
        <v>28.187</v>
      </c>
      <c r="H679">
        <v>3</v>
      </c>
    </row>
    <row r="680" spans="2:8">
      <c r="B680" s="3">
        <v>45608</v>
      </c>
      <c r="C680" t="s">
        <v>12</v>
      </c>
      <c r="D680">
        <f>VLOOKUP(C680,成本价!$C$2:$D$59,2,0)*H680</f>
        <v>1.161</v>
      </c>
      <c r="G680">
        <f t="shared" si="12"/>
        <v>-1.161</v>
      </c>
      <c r="H680">
        <v>3</v>
      </c>
    </row>
    <row r="681" spans="2:8">
      <c r="B681" s="3">
        <v>45608</v>
      </c>
      <c r="C681" t="s">
        <v>49</v>
      </c>
      <c r="D681">
        <f>VLOOKUP(C681,成本价!$C$2:$D$59,2,0)*H681</f>
        <v>1.975</v>
      </c>
      <c r="E681">
        <v>10.5</v>
      </c>
      <c r="F681">
        <v>3.5</v>
      </c>
      <c r="G681">
        <f t="shared" si="12"/>
        <v>8.525</v>
      </c>
      <c r="H681">
        <v>1</v>
      </c>
    </row>
    <row r="682" spans="2:8">
      <c r="B682" s="3">
        <v>45608</v>
      </c>
      <c r="C682" t="s">
        <v>33</v>
      </c>
      <c r="D682">
        <f>VLOOKUP(C682,成本价!$C$2:$D$59,2,0)*H682</f>
        <v>3.4</v>
      </c>
      <c r="E682">
        <f>6.38*2</f>
        <v>12.76</v>
      </c>
      <c r="F682">
        <v>3.5</v>
      </c>
      <c r="G682">
        <f t="shared" si="12"/>
        <v>9.36</v>
      </c>
      <c r="H682">
        <v>2</v>
      </c>
    </row>
    <row r="683" spans="2:8">
      <c r="B683" s="3">
        <v>45608</v>
      </c>
      <c r="C683" t="s">
        <v>33</v>
      </c>
      <c r="D683">
        <f>VLOOKUP(C683,成本价!$C$2:$D$59,2,0)*H683</f>
        <v>3.4</v>
      </c>
      <c r="E683">
        <f>6.04+6.05</f>
        <v>12.09</v>
      </c>
      <c r="F683">
        <v>3.5</v>
      </c>
      <c r="G683">
        <f t="shared" si="12"/>
        <v>8.69</v>
      </c>
      <c r="H683">
        <v>2</v>
      </c>
    </row>
    <row r="684" spans="2:8">
      <c r="B684" s="3">
        <v>45608</v>
      </c>
      <c r="C684" t="s">
        <v>27</v>
      </c>
      <c r="D684">
        <f>VLOOKUP(C684,成本价!$C$2:$D$59,2,0)*H684</f>
        <v>1.8</v>
      </c>
      <c r="E684">
        <v>6.05</v>
      </c>
      <c r="F684">
        <v>0</v>
      </c>
      <c r="G684">
        <f t="shared" si="12"/>
        <v>4.25</v>
      </c>
      <c r="H684">
        <v>1</v>
      </c>
    </row>
    <row r="685" spans="2:8">
      <c r="B685" s="3">
        <v>45608</v>
      </c>
      <c r="C685" t="s">
        <v>70</v>
      </c>
      <c r="D685">
        <f>VLOOKUP(C685,成本价!$C$2:$D$59,2,0)*H685</f>
        <v>13.72</v>
      </c>
      <c r="E685">
        <v>40.6</v>
      </c>
      <c r="F685">
        <v>3.5</v>
      </c>
      <c r="G685">
        <f t="shared" si="12"/>
        <v>26.88</v>
      </c>
      <c r="H685">
        <v>1</v>
      </c>
    </row>
    <row r="686" spans="2:8">
      <c r="B686" s="3">
        <v>45608</v>
      </c>
      <c r="C686" t="s">
        <v>59</v>
      </c>
      <c r="D686">
        <f>VLOOKUP(C686,成本价!$C$2:$D$59,2,0)*H686</f>
        <v>8.7</v>
      </c>
      <c r="E686">
        <v>27.3</v>
      </c>
      <c r="F686">
        <v>3.5</v>
      </c>
      <c r="G686">
        <f t="shared" si="12"/>
        <v>18.6</v>
      </c>
      <c r="H686">
        <v>1</v>
      </c>
    </row>
    <row r="687" spans="2:8">
      <c r="B687" s="3">
        <v>45608</v>
      </c>
      <c r="C687" t="s">
        <v>64</v>
      </c>
      <c r="D687">
        <f>VLOOKUP(C687,成本价!$C$2:$D$59,2,0)*H687</f>
        <v>6.38</v>
      </c>
      <c r="E687">
        <v>16.7</v>
      </c>
      <c r="F687">
        <v>3.5</v>
      </c>
      <c r="G687">
        <f t="shared" si="12"/>
        <v>10.32</v>
      </c>
      <c r="H687">
        <v>1</v>
      </c>
    </row>
    <row r="688" spans="2:8">
      <c r="B688" s="3">
        <v>45608</v>
      </c>
      <c r="C688" t="s">
        <v>12</v>
      </c>
      <c r="D688">
        <f>VLOOKUP(C688,成本价!$C$2:$D$59,2,0)*H688</f>
        <v>1.161</v>
      </c>
      <c r="E688">
        <v>10.4</v>
      </c>
      <c r="F688">
        <v>3.5</v>
      </c>
      <c r="G688">
        <f t="shared" si="12"/>
        <v>9.239</v>
      </c>
      <c r="H688">
        <v>3</v>
      </c>
    </row>
    <row r="689" spans="2:8">
      <c r="B689" s="3">
        <v>45608</v>
      </c>
      <c r="C689" t="s">
        <v>44</v>
      </c>
      <c r="D689">
        <f>VLOOKUP(C689,成本价!$C$2:$D$59,2,0)*H689</f>
        <v>1.191</v>
      </c>
      <c r="G689">
        <f t="shared" si="12"/>
        <v>-1.191</v>
      </c>
      <c r="H689">
        <v>3</v>
      </c>
    </row>
    <row r="690" spans="2:8">
      <c r="B690" s="3">
        <v>45608</v>
      </c>
      <c r="C690" t="s">
        <v>12</v>
      </c>
      <c r="D690">
        <f>VLOOKUP(C690,成本价!$C$2:$D$59,2,0)*H690</f>
        <v>0.774</v>
      </c>
      <c r="E690">
        <v>4.94</v>
      </c>
      <c r="F690">
        <v>3.5</v>
      </c>
      <c r="G690">
        <f t="shared" si="12"/>
        <v>4.166</v>
      </c>
      <c r="H690">
        <v>2</v>
      </c>
    </row>
    <row r="691" spans="2:8">
      <c r="B691" s="3">
        <v>45608</v>
      </c>
      <c r="C691" t="s">
        <v>59</v>
      </c>
      <c r="D691">
        <f>VLOOKUP(C691,成本价!$C$2:$D$59,2,0)*H691</f>
        <v>8.7</v>
      </c>
      <c r="E691">
        <v>27.3</v>
      </c>
      <c r="F691">
        <v>3.5</v>
      </c>
      <c r="G691">
        <f t="shared" si="12"/>
        <v>18.6</v>
      </c>
      <c r="H691">
        <v>1</v>
      </c>
    </row>
    <row r="692" spans="2:8">
      <c r="B692" s="3">
        <v>45608</v>
      </c>
      <c r="C692" t="s">
        <v>36</v>
      </c>
      <c r="D692">
        <f>VLOOKUP(C692,成本价!$C$2:$D$59,2,0)*H692</f>
        <v>4.64</v>
      </c>
      <c r="E692">
        <v>30</v>
      </c>
      <c r="F692">
        <v>3.5</v>
      </c>
      <c r="G692">
        <f t="shared" si="12"/>
        <v>25.36</v>
      </c>
      <c r="H692">
        <v>2</v>
      </c>
    </row>
    <row r="693" spans="2:8">
      <c r="B693" s="3">
        <v>45608</v>
      </c>
      <c r="C693" t="s">
        <v>37</v>
      </c>
      <c r="D693">
        <f>VLOOKUP(C693,成本价!$C$2:$D$59,2,0)*H693</f>
        <v>7.62</v>
      </c>
      <c r="G693">
        <f t="shared" si="12"/>
        <v>-7.62</v>
      </c>
      <c r="H693">
        <v>3</v>
      </c>
    </row>
    <row r="694" spans="2:8">
      <c r="B694" s="3">
        <v>45608</v>
      </c>
      <c r="C694" t="s">
        <v>50</v>
      </c>
      <c r="D694">
        <f>VLOOKUP(C694,成本价!$C$2:$D$59,2,0)*H694</f>
        <v>2.749</v>
      </c>
      <c r="E694">
        <v>11.4</v>
      </c>
      <c r="F694">
        <v>3.5</v>
      </c>
      <c r="G694">
        <f t="shared" si="12"/>
        <v>8.651</v>
      </c>
      <c r="H694">
        <v>1</v>
      </c>
    </row>
    <row r="695" spans="2:8">
      <c r="B695" s="3">
        <v>45608</v>
      </c>
      <c r="C695" t="s">
        <v>64</v>
      </c>
      <c r="D695">
        <f>VLOOKUP(C695,成本价!$C$2:$D$59,2,0)*H695</f>
        <v>6.38</v>
      </c>
      <c r="E695">
        <v>17.39</v>
      </c>
      <c r="F695">
        <v>3.5</v>
      </c>
      <c r="G695">
        <f t="shared" si="12"/>
        <v>11.01</v>
      </c>
      <c r="H695">
        <v>1</v>
      </c>
    </row>
    <row r="696" spans="2:8">
      <c r="B696" s="3">
        <v>45608</v>
      </c>
      <c r="C696" t="s">
        <v>27</v>
      </c>
      <c r="D696">
        <f>VLOOKUP(C696,成本价!$C$2:$D$59,2,0)*H696</f>
        <v>5.4</v>
      </c>
      <c r="E696">
        <v>16.63</v>
      </c>
      <c r="F696">
        <v>3.5</v>
      </c>
      <c r="G696">
        <f t="shared" si="12"/>
        <v>11.23</v>
      </c>
      <c r="H696">
        <v>3</v>
      </c>
    </row>
    <row r="697" spans="2:8">
      <c r="B697" s="3">
        <v>45608</v>
      </c>
      <c r="C697" t="s">
        <v>57</v>
      </c>
      <c r="D697">
        <f>VLOOKUP(C697,成本价!$C$2:$D$59,2,0)*H697</f>
        <v>8.9</v>
      </c>
      <c r="E697">
        <v>28.5</v>
      </c>
      <c r="F697">
        <v>3.5</v>
      </c>
      <c r="G697">
        <f t="shared" si="12"/>
        <v>19.6</v>
      </c>
      <c r="H697">
        <v>1</v>
      </c>
    </row>
    <row r="698" spans="2:9">
      <c r="B698" s="3">
        <v>45608</v>
      </c>
      <c r="I698">
        <f>203.12+21-14.27</f>
        <v>209.85</v>
      </c>
    </row>
    <row r="699" spans="2:8">
      <c r="B699" s="29">
        <v>45609</v>
      </c>
      <c r="C699" t="s">
        <v>23</v>
      </c>
      <c r="D699">
        <f>VLOOKUP(C699,成本价!$C$2:$D$59,2,0)*H699</f>
        <v>3.12</v>
      </c>
      <c r="E699">
        <v>6.21</v>
      </c>
      <c r="F699">
        <v>3.5</v>
      </c>
      <c r="G699">
        <f>E699-D699</f>
        <v>3.09</v>
      </c>
      <c r="H699">
        <v>1.5</v>
      </c>
    </row>
    <row r="700" spans="2:8">
      <c r="B700" s="3">
        <v>45609</v>
      </c>
      <c r="C700" t="s">
        <v>33</v>
      </c>
      <c r="D700">
        <f>VLOOKUP(C700,成本价!$C$2:$D$59,2,0)*H700</f>
        <v>3.4</v>
      </c>
      <c r="E700">
        <f>6.46+6.38</f>
        <v>12.84</v>
      </c>
      <c r="F700">
        <v>3.5</v>
      </c>
      <c r="G700">
        <f t="shared" si="12"/>
        <v>9.44</v>
      </c>
      <c r="H700">
        <v>2</v>
      </c>
    </row>
    <row r="701" spans="2:8">
      <c r="B701" s="3">
        <v>45609</v>
      </c>
      <c r="C701" t="s">
        <v>27</v>
      </c>
      <c r="D701">
        <f>VLOOKUP(C701,成本价!$C$2:$D$59,2,0)*H701</f>
        <v>1.8</v>
      </c>
      <c r="E701">
        <v>6.21</v>
      </c>
      <c r="F701">
        <v>3.5</v>
      </c>
      <c r="G701">
        <f t="shared" si="12"/>
        <v>4.41</v>
      </c>
      <c r="H701">
        <v>1</v>
      </c>
    </row>
    <row r="702" spans="2:8">
      <c r="B702" s="3">
        <v>45609</v>
      </c>
      <c r="C702" t="s">
        <v>58</v>
      </c>
      <c r="D702">
        <f>VLOOKUP(C702,成本价!$C$2:$D$59,2,0)*H702</f>
        <v>8.4</v>
      </c>
      <c r="E702">
        <v>18.2</v>
      </c>
      <c r="F702">
        <v>3.5</v>
      </c>
      <c r="G702">
        <f t="shared" ref="G702:G755" si="13">E702-D702</f>
        <v>9.8</v>
      </c>
      <c r="H702">
        <v>1</v>
      </c>
    </row>
    <row r="703" spans="2:8">
      <c r="B703" s="3">
        <v>45609</v>
      </c>
      <c r="C703" t="s">
        <v>40</v>
      </c>
      <c r="D703">
        <f>VLOOKUP(C703,成本价!$C$2:$D$59,2,0)*H703</f>
        <v>2.82</v>
      </c>
      <c r="E703">
        <v>6.21</v>
      </c>
      <c r="F703">
        <v>3.5</v>
      </c>
      <c r="G703">
        <f t="shared" si="13"/>
        <v>3.39</v>
      </c>
      <c r="H703">
        <v>1.5</v>
      </c>
    </row>
    <row r="704" spans="2:8">
      <c r="B704" s="3">
        <v>45609</v>
      </c>
      <c r="C704" t="s">
        <v>12</v>
      </c>
      <c r="D704">
        <f>VLOOKUP(C704,成本价!$C$2:$D$59,2,0)*H704</f>
        <v>1.161</v>
      </c>
      <c r="E704">
        <v>10.4</v>
      </c>
      <c r="F704">
        <v>3.5</v>
      </c>
      <c r="G704">
        <f t="shared" si="13"/>
        <v>9.239</v>
      </c>
      <c r="H704">
        <v>3</v>
      </c>
    </row>
    <row r="705" spans="2:8">
      <c r="B705" s="3">
        <v>45609</v>
      </c>
      <c r="C705" t="s">
        <v>44</v>
      </c>
      <c r="D705">
        <f>VLOOKUP(C705,成本价!$C$2:$D$59,2,0)*H705</f>
        <v>1.191</v>
      </c>
      <c r="E705">
        <v>0</v>
      </c>
      <c r="G705">
        <f t="shared" si="13"/>
        <v>-1.191</v>
      </c>
      <c r="H705">
        <v>3</v>
      </c>
    </row>
    <row r="706" spans="2:8">
      <c r="B706" s="3">
        <v>45609</v>
      </c>
      <c r="C706" t="s">
        <v>27</v>
      </c>
      <c r="D706">
        <f>VLOOKUP(C706,成本价!$C$2:$D$59,2,0)*H706</f>
        <v>5.4</v>
      </c>
      <c r="E706">
        <f>6.05*3-0.01</f>
        <v>18.14</v>
      </c>
      <c r="F706">
        <v>3.5</v>
      </c>
      <c r="G706">
        <f t="shared" si="13"/>
        <v>12.74</v>
      </c>
      <c r="H706">
        <v>3</v>
      </c>
    </row>
    <row r="707" spans="2:8">
      <c r="B707" s="3">
        <v>45609</v>
      </c>
      <c r="C707" t="s">
        <v>72</v>
      </c>
      <c r="D707">
        <f>VLOOKUP(C707,成本价!$C$2:$D$59,2,0)*H707</f>
        <v>6.06</v>
      </c>
      <c r="E707">
        <v>18.6</v>
      </c>
      <c r="F707">
        <v>3.5</v>
      </c>
      <c r="G707">
        <f t="shared" si="13"/>
        <v>12.54</v>
      </c>
      <c r="H707">
        <v>1</v>
      </c>
    </row>
    <row r="708" spans="2:8">
      <c r="B708" s="3">
        <v>45609</v>
      </c>
      <c r="C708" t="s">
        <v>60</v>
      </c>
      <c r="D708">
        <f>VLOOKUP(C708,成本价!$C$2:$D$59,2,0)*H708</f>
        <v>5.2</v>
      </c>
      <c r="E708">
        <v>17.5</v>
      </c>
      <c r="F708">
        <v>3.5</v>
      </c>
      <c r="G708">
        <f t="shared" si="13"/>
        <v>12.3</v>
      </c>
      <c r="H708">
        <v>1</v>
      </c>
    </row>
    <row r="709" spans="2:8">
      <c r="B709" s="3">
        <v>45609</v>
      </c>
      <c r="C709" t="s">
        <v>33</v>
      </c>
      <c r="D709">
        <f>VLOOKUP(C709,成本价!$C$2:$D$59,2,0)*H709</f>
        <v>2.55</v>
      </c>
      <c r="E709">
        <v>6.21</v>
      </c>
      <c r="F709">
        <v>3.5</v>
      </c>
      <c r="G709">
        <f t="shared" si="13"/>
        <v>3.66</v>
      </c>
      <c r="H709">
        <v>1.5</v>
      </c>
    </row>
    <row r="710" spans="2:8">
      <c r="B710" s="3">
        <v>45609</v>
      </c>
      <c r="C710" t="s">
        <v>57</v>
      </c>
      <c r="D710">
        <f>VLOOKUP(C710,成本价!$C$2:$D$59,2,0)*H710</f>
        <v>8.9</v>
      </c>
      <c r="E710">
        <v>27.9</v>
      </c>
      <c r="F710">
        <v>3.5</v>
      </c>
      <c r="G710">
        <f t="shared" si="13"/>
        <v>19</v>
      </c>
      <c r="H710">
        <v>1</v>
      </c>
    </row>
    <row r="711" spans="2:8">
      <c r="B711" s="3">
        <v>45609</v>
      </c>
      <c r="C711" t="s">
        <v>73</v>
      </c>
      <c r="D711">
        <f>VLOOKUP(C711,成本价!$C$2:$D$59,2,0)*H711</f>
        <v>12.48</v>
      </c>
      <c r="E711">
        <v>30</v>
      </c>
      <c r="F711">
        <v>3.5</v>
      </c>
      <c r="G711">
        <f t="shared" si="13"/>
        <v>17.52</v>
      </c>
      <c r="H711">
        <v>1</v>
      </c>
    </row>
    <row r="712" spans="2:8">
      <c r="B712" s="3">
        <v>45609</v>
      </c>
      <c r="C712" t="s">
        <v>55</v>
      </c>
      <c r="D712">
        <f>VLOOKUP(C712,成本价!$C$2:$D$59,2,0)*H712</f>
        <v>3.513</v>
      </c>
      <c r="E712">
        <v>11.9</v>
      </c>
      <c r="F712">
        <v>3.5</v>
      </c>
      <c r="G712">
        <f t="shared" si="13"/>
        <v>8.387</v>
      </c>
      <c r="H712">
        <v>3</v>
      </c>
    </row>
    <row r="713" spans="2:8">
      <c r="B713" s="3">
        <v>45609</v>
      </c>
      <c r="C713" t="s">
        <v>60</v>
      </c>
      <c r="D713">
        <f>VLOOKUP(C713,成本价!$C$2:$D$59,2,0)*H713</f>
        <v>5.2</v>
      </c>
      <c r="E713">
        <v>17.5</v>
      </c>
      <c r="F713">
        <v>3.5</v>
      </c>
      <c r="G713">
        <f t="shared" si="13"/>
        <v>12.3</v>
      </c>
      <c r="H713">
        <v>1</v>
      </c>
    </row>
    <row r="714" spans="2:8">
      <c r="B714" s="3">
        <v>45609</v>
      </c>
      <c r="C714" t="s">
        <v>33</v>
      </c>
      <c r="D714">
        <f>VLOOKUP(C714,成本价!$C$2:$D$59,2,0)*H714</f>
        <v>1.7</v>
      </c>
      <c r="E714">
        <v>6.38</v>
      </c>
      <c r="F714">
        <v>0</v>
      </c>
      <c r="G714">
        <f t="shared" si="13"/>
        <v>4.68</v>
      </c>
      <c r="H714">
        <v>1</v>
      </c>
    </row>
    <row r="715" spans="2:8">
      <c r="B715" s="3">
        <v>45609</v>
      </c>
      <c r="C715" t="s">
        <v>71</v>
      </c>
      <c r="D715">
        <f>VLOOKUP(C715,成本价!$C$2:$D$59,2,0)*H715</f>
        <v>1.191</v>
      </c>
      <c r="E715">
        <v>8.6</v>
      </c>
      <c r="F715">
        <v>3.5</v>
      </c>
      <c r="G715">
        <f t="shared" si="13"/>
        <v>7.409</v>
      </c>
      <c r="H715">
        <v>1</v>
      </c>
    </row>
    <row r="716" spans="2:8">
      <c r="B716" s="3">
        <v>45609</v>
      </c>
      <c r="C716" t="s">
        <v>44</v>
      </c>
      <c r="D716">
        <f>VLOOKUP(C716,成本价!$C$2:$D$59,2,0)*H716</f>
        <v>0.397</v>
      </c>
      <c r="G716">
        <f t="shared" si="13"/>
        <v>-0.397</v>
      </c>
      <c r="H716">
        <v>1</v>
      </c>
    </row>
    <row r="717" spans="2:8">
      <c r="B717" s="3">
        <v>45609</v>
      </c>
      <c r="C717" t="s">
        <v>33</v>
      </c>
      <c r="D717">
        <f>VLOOKUP(C717,成本价!$C$2:$D$59,2,0)*H717</f>
        <v>1.7</v>
      </c>
      <c r="E717">
        <v>6.38</v>
      </c>
      <c r="F717">
        <v>3.5</v>
      </c>
      <c r="G717">
        <f t="shared" si="13"/>
        <v>4.68</v>
      </c>
      <c r="H717">
        <v>1</v>
      </c>
    </row>
    <row r="718" spans="2:8">
      <c r="B718" s="3">
        <v>45609</v>
      </c>
      <c r="C718" t="s">
        <v>44</v>
      </c>
      <c r="D718">
        <f>VLOOKUP(C718,成本价!$C$2:$D$59,2,0)*H718</f>
        <v>1.191</v>
      </c>
      <c r="E718">
        <v>11.9</v>
      </c>
      <c r="F718">
        <v>3.5</v>
      </c>
      <c r="G718">
        <f t="shared" si="13"/>
        <v>10.709</v>
      </c>
      <c r="H718">
        <v>3</v>
      </c>
    </row>
    <row r="719" spans="2:8">
      <c r="B719" s="3">
        <v>45609</v>
      </c>
      <c r="C719" t="s">
        <v>44</v>
      </c>
      <c r="D719">
        <f>VLOOKUP(C719,成本价!$C$2:$D$59,2,0)*H719</f>
        <v>0.397</v>
      </c>
      <c r="G719">
        <f t="shared" si="13"/>
        <v>-0.397</v>
      </c>
      <c r="H719">
        <v>1</v>
      </c>
    </row>
    <row r="720" spans="2:8">
      <c r="B720" s="3">
        <v>45609</v>
      </c>
      <c r="C720" t="s">
        <v>27</v>
      </c>
      <c r="D720">
        <f>VLOOKUP(C720,成本价!$C$2:$D$59,2,0)*H720</f>
        <v>1.8</v>
      </c>
      <c r="E720">
        <v>6.38</v>
      </c>
      <c r="F720">
        <v>3.5</v>
      </c>
      <c r="G720">
        <f t="shared" si="13"/>
        <v>4.58</v>
      </c>
      <c r="H720">
        <v>1</v>
      </c>
    </row>
    <row r="721" spans="2:8">
      <c r="B721" s="3">
        <v>45609</v>
      </c>
      <c r="C721" t="s">
        <v>63</v>
      </c>
      <c r="D721">
        <f>VLOOKUP(C721,成本价!$C$2:$D$59,2,0)*H721</f>
        <v>5.1</v>
      </c>
      <c r="E721">
        <v>17.5</v>
      </c>
      <c r="F721">
        <v>3.5</v>
      </c>
      <c r="G721">
        <f t="shared" si="13"/>
        <v>12.4</v>
      </c>
      <c r="H721">
        <v>1</v>
      </c>
    </row>
    <row r="722" spans="2:8">
      <c r="B722" s="3">
        <v>45609</v>
      </c>
      <c r="C722" t="s">
        <v>49</v>
      </c>
      <c r="D722">
        <f>VLOOKUP(C722,成本价!$C$2:$D$59,2,0)*H722</f>
        <v>1.975</v>
      </c>
      <c r="E722">
        <v>10.5</v>
      </c>
      <c r="F722">
        <v>3.5</v>
      </c>
      <c r="G722">
        <f t="shared" si="13"/>
        <v>8.525</v>
      </c>
      <c r="H722">
        <v>1</v>
      </c>
    </row>
    <row r="723" spans="2:8">
      <c r="B723" s="3">
        <v>45609</v>
      </c>
      <c r="C723" t="s">
        <v>33</v>
      </c>
      <c r="D723">
        <f>VLOOKUP(C723,成本价!$C$2:$D$59,2,0)*H723</f>
        <v>3.4</v>
      </c>
      <c r="E723">
        <v>26.9</v>
      </c>
      <c r="F723">
        <v>3.5</v>
      </c>
      <c r="G723">
        <f t="shared" si="13"/>
        <v>23.5</v>
      </c>
      <c r="H723">
        <v>2</v>
      </c>
    </row>
    <row r="724" spans="2:8">
      <c r="B724" s="3">
        <v>45609</v>
      </c>
      <c r="C724" t="s">
        <v>27</v>
      </c>
      <c r="D724">
        <f>VLOOKUP(C724,成本价!$C$2:$D$59,2,0)*H724</f>
        <v>5.4</v>
      </c>
      <c r="E724">
        <v>0</v>
      </c>
      <c r="G724">
        <f t="shared" si="13"/>
        <v>-5.4</v>
      </c>
      <c r="H724">
        <v>3</v>
      </c>
    </row>
    <row r="725" spans="2:8">
      <c r="B725" s="3">
        <v>45609</v>
      </c>
      <c r="C725" t="s">
        <v>37</v>
      </c>
      <c r="D725">
        <f>VLOOKUP(C725,成本价!$C$2:$D$59,2,0)*H725</f>
        <v>3.81</v>
      </c>
      <c r="E725">
        <v>6.21</v>
      </c>
      <c r="F725">
        <v>3.5</v>
      </c>
      <c r="G725">
        <f t="shared" si="13"/>
        <v>2.4</v>
      </c>
      <c r="H725">
        <v>1.5</v>
      </c>
    </row>
    <row r="726" spans="2:8">
      <c r="B726" s="3">
        <v>45609</v>
      </c>
      <c r="C726" t="s">
        <v>56</v>
      </c>
      <c r="D726">
        <f>VLOOKUP(C726,成本价!$C$2:$D$59,2,0)*H726</f>
        <v>3.483</v>
      </c>
      <c r="E726">
        <v>11.9</v>
      </c>
      <c r="F726">
        <v>3.5</v>
      </c>
      <c r="G726">
        <f t="shared" si="13"/>
        <v>8.417</v>
      </c>
      <c r="H726">
        <v>3</v>
      </c>
    </row>
    <row r="727" spans="2:8">
      <c r="B727" s="3">
        <v>45609</v>
      </c>
      <c r="C727" t="s">
        <v>12</v>
      </c>
      <c r="D727">
        <f>VLOOKUP(C727,成本价!$C$2:$D$59,2,0)*H727</f>
        <v>1.935</v>
      </c>
      <c r="E727">
        <v>14.1</v>
      </c>
      <c r="F727">
        <v>3.5</v>
      </c>
      <c r="G727">
        <f t="shared" si="13"/>
        <v>12.165</v>
      </c>
      <c r="H727">
        <v>5</v>
      </c>
    </row>
    <row r="728" spans="2:8">
      <c r="B728" s="3">
        <v>45609</v>
      </c>
      <c r="C728" t="s">
        <v>44</v>
      </c>
      <c r="D728">
        <f>VLOOKUP(C728,成本价!$C$2:$D$59,2,0)*H728</f>
        <v>2.382</v>
      </c>
      <c r="G728">
        <f t="shared" si="13"/>
        <v>-2.382</v>
      </c>
      <c r="H728">
        <v>6</v>
      </c>
    </row>
    <row r="729" spans="2:8">
      <c r="B729" s="3">
        <v>45609</v>
      </c>
      <c r="C729" t="s">
        <v>55</v>
      </c>
      <c r="D729">
        <f>VLOOKUP(C729,成本价!$C$2:$D$59,2,0)*H729</f>
        <v>3.513</v>
      </c>
      <c r="E729">
        <v>10.9</v>
      </c>
      <c r="F729">
        <v>3.5</v>
      </c>
      <c r="G729">
        <f t="shared" si="13"/>
        <v>7.387</v>
      </c>
      <c r="H729">
        <v>3</v>
      </c>
    </row>
    <row r="730" spans="2:8">
      <c r="B730" s="3">
        <v>45609</v>
      </c>
      <c r="C730" t="s">
        <v>71</v>
      </c>
      <c r="D730">
        <f>VLOOKUP(C730,成本价!$C$2:$D$59,2,0)*H730</f>
        <v>3.573</v>
      </c>
      <c r="E730">
        <v>10.9</v>
      </c>
      <c r="F730">
        <v>0</v>
      </c>
      <c r="G730">
        <f t="shared" si="13"/>
        <v>7.327</v>
      </c>
      <c r="H730">
        <v>3</v>
      </c>
    </row>
    <row r="731" spans="2:8">
      <c r="B731" s="3">
        <v>45609</v>
      </c>
      <c r="C731" t="s">
        <v>44</v>
      </c>
      <c r="D731">
        <f>VLOOKUP(C731,成本价!$C$2:$D$59,2,0)*H731</f>
        <v>0.397</v>
      </c>
      <c r="F731">
        <v>0</v>
      </c>
      <c r="G731">
        <f t="shared" si="13"/>
        <v>-0.397</v>
      </c>
      <c r="H731">
        <v>1</v>
      </c>
    </row>
    <row r="732" spans="2:8">
      <c r="B732" s="3">
        <v>45609</v>
      </c>
      <c r="C732" t="s">
        <v>40</v>
      </c>
      <c r="D732">
        <f>VLOOKUP(C732,成本价!$C$2:$D$59,2,0)*H732</f>
        <v>1.88</v>
      </c>
      <c r="E732">
        <v>6.89</v>
      </c>
      <c r="F732">
        <v>3.5</v>
      </c>
      <c r="G732">
        <f t="shared" si="13"/>
        <v>5.01</v>
      </c>
      <c r="H732">
        <v>1</v>
      </c>
    </row>
    <row r="733" spans="2:10">
      <c r="B733" s="3">
        <v>45609</v>
      </c>
      <c r="C733" t="s">
        <v>50</v>
      </c>
      <c r="D733">
        <f>VLOOKUP(C733,成本价!$C$2:$D$59,2,0)*H733</f>
        <v>2.749</v>
      </c>
      <c r="E733">
        <v>11.4</v>
      </c>
      <c r="F733">
        <v>3.5</v>
      </c>
      <c r="G733">
        <f t="shared" si="13"/>
        <v>8.651</v>
      </c>
      <c r="H733">
        <v>1</v>
      </c>
      <c r="J733" s="2" t="s">
        <v>74</v>
      </c>
    </row>
    <row r="734" spans="2:10">
      <c r="B734" s="3">
        <v>45609</v>
      </c>
      <c r="C734" t="s">
        <v>43</v>
      </c>
      <c r="D734">
        <f>VLOOKUP(C734,成本价!$C$2:$D$59,2,0)*H734</f>
        <v>3.03</v>
      </c>
      <c r="E734">
        <v>6.21</v>
      </c>
      <c r="F734">
        <v>3.5</v>
      </c>
      <c r="G734">
        <f t="shared" si="13"/>
        <v>3.18</v>
      </c>
      <c r="H734">
        <v>1.5</v>
      </c>
      <c r="J734" s="2" t="s">
        <v>74</v>
      </c>
    </row>
    <row r="735" spans="2:9">
      <c r="B735" s="3">
        <v>45609</v>
      </c>
      <c r="G735">
        <f t="shared" si="13"/>
        <v>0</v>
      </c>
      <c r="I735" s="2">
        <f>168.06+14.27-24.84</f>
        <v>157.49</v>
      </c>
    </row>
    <row r="736" spans="2:8">
      <c r="B736" s="29">
        <v>45610</v>
      </c>
      <c r="C736" t="s">
        <v>50</v>
      </c>
      <c r="D736">
        <f>VLOOKUP(C736,成本价!$C$2:$D$59,2,0)*H736</f>
        <v>2.749</v>
      </c>
      <c r="E736">
        <v>11.4</v>
      </c>
      <c r="F736">
        <v>3.5</v>
      </c>
      <c r="G736">
        <f t="shared" si="13"/>
        <v>8.651</v>
      </c>
      <c r="H736">
        <v>1</v>
      </c>
    </row>
    <row r="737" spans="2:8">
      <c r="B737" s="3">
        <v>45610</v>
      </c>
      <c r="C737" t="s">
        <v>43</v>
      </c>
      <c r="D737">
        <f>VLOOKUP(C737,成本价!$C$2:$D$59,2,0)*H737</f>
        <v>3.03</v>
      </c>
      <c r="E737">
        <v>6.21</v>
      </c>
      <c r="F737">
        <v>3.5</v>
      </c>
      <c r="G737">
        <f t="shared" si="13"/>
        <v>3.18</v>
      </c>
      <c r="H737">
        <v>1.5</v>
      </c>
    </row>
    <row r="738" spans="2:8">
      <c r="B738" s="3">
        <v>45610</v>
      </c>
      <c r="C738" t="s">
        <v>50</v>
      </c>
      <c r="D738">
        <f>VLOOKUP(C738,成本价!$C$2:$D$59,2,0)*H738</f>
        <v>2.749</v>
      </c>
      <c r="E738">
        <v>11.4</v>
      </c>
      <c r="F738">
        <v>3.5</v>
      </c>
      <c r="G738">
        <f t="shared" si="13"/>
        <v>8.651</v>
      </c>
      <c r="H738">
        <v>1</v>
      </c>
    </row>
    <row r="739" spans="2:8">
      <c r="B739" s="3">
        <v>45610</v>
      </c>
      <c r="C739" t="s">
        <v>40</v>
      </c>
      <c r="D739">
        <f>VLOOKUP(C739,成本价!$C$2:$D$59,2,0)*H739</f>
        <v>2.82</v>
      </c>
      <c r="E739">
        <v>7.9</v>
      </c>
      <c r="F739">
        <v>3.5</v>
      </c>
      <c r="G739">
        <f t="shared" si="13"/>
        <v>5.08</v>
      </c>
      <c r="H739">
        <v>1.5</v>
      </c>
    </row>
    <row r="740" spans="2:8">
      <c r="B740" s="3">
        <v>45610</v>
      </c>
      <c r="C740" t="s">
        <v>50</v>
      </c>
      <c r="D740">
        <f>VLOOKUP(C740,成本价!$C$2:$D$59,2,0)*H740</f>
        <v>5.498</v>
      </c>
      <c r="E740">
        <v>20.8</v>
      </c>
      <c r="F740">
        <v>3.5</v>
      </c>
      <c r="G740">
        <f t="shared" si="13"/>
        <v>15.302</v>
      </c>
      <c r="H740">
        <v>2</v>
      </c>
    </row>
    <row r="741" spans="2:8">
      <c r="B741" s="3">
        <v>45610</v>
      </c>
      <c r="C741" t="s">
        <v>12</v>
      </c>
      <c r="D741">
        <f>VLOOKUP(C741,成本价!$C$2:$D$59,2,0)*H741</f>
        <v>0.774</v>
      </c>
      <c r="G741">
        <f t="shared" si="13"/>
        <v>-0.774</v>
      </c>
      <c r="H741">
        <v>2</v>
      </c>
    </row>
    <row r="742" spans="2:8">
      <c r="B742" s="3">
        <v>45610</v>
      </c>
      <c r="C742" t="s">
        <v>58</v>
      </c>
      <c r="D742">
        <f>VLOOKUP(C742,成本价!$C$2:$D$59,2,0)*H742</f>
        <v>8.4</v>
      </c>
      <c r="E742">
        <v>17</v>
      </c>
      <c r="F742">
        <v>3.5</v>
      </c>
      <c r="G742">
        <f t="shared" si="13"/>
        <v>8.6</v>
      </c>
      <c r="H742">
        <v>1</v>
      </c>
    </row>
    <row r="743" spans="2:8">
      <c r="B743" s="3">
        <v>45610</v>
      </c>
      <c r="C743" t="s">
        <v>75</v>
      </c>
      <c r="D743">
        <f>VLOOKUP(C743,成本价!$C$2:$D$59,2,0)*H743</f>
        <v>15.12</v>
      </c>
      <c r="E743">
        <v>39.6</v>
      </c>
      <c r="F743">
        <v>3.5</v>
      </c>
      <c r="G743">
        <f t="shared" si="13"/>
        <v>24.48</v>
      </c>
      <c r="H743">
        <v>1</v>
      </c>
    </row>
    <row r="744" spans="2:8">
      <c r="B744" s="3">
        <v>45610</v>
      </c>
      <c r="C744" t="s">
        <v>55</v>
      </c>
      <c r="D744">
        <f>VLOOKUP(C744,成本价!$C$2:$D$59,2,0)*H744</f>
        <v>3.513</v>
      </c>
      <c r="E744">
        <v>11.9</v>
      </c>
      <c r="F744">
        <v>3.5</v>
      </c>
      <c r="G744">
        <f t="shared" si="13"/>
        <v>8.387</v>
      </c>
      <c r="H744">
        <v>3</v>
      </c>
    </row>
    <row r="745" spans="2:8">
      <c r="B745" s="3">
        <v>45610</v>
      </c>
      <c r="C745" t="s">
        <v>59</v>
      </c>
      <c r="D745">
        <f>VLOOKUP(C745,成本价!$C$2:$D$59,2,0)*H745</f>
        <v>8.7</v>
      </c>
      <c r="E745">
        <v>27.3</v>
      </c>
      <c r="F745">
        <v>3.5</v>
      </c>
      <c r="G745">
        <f t="shared" si="13"/>
        <v>18.6</v>
      </c>
      <c r="H745">
        <v>1</v>
      </c>
    </row>
    <row r="746" spans="2:8">
      <c r="B746" s="3">
        <v>45610</v>
      </c>
      <c r="C746" t="s">
        <v>36</v>
      </c>
      <c r="D746">
        <f>VLOOKUP(C746,成本价!$C$2:$D$59,2,0)*H746</f>
        <v>3.48</v>
      </c>
      <c r="E746">
        <v>7.9</v>
      </c>
      <c r="F746">
        <v>3.5</v>
      </c>
      <c r="G746">
        <f t="shared" si="13"/>
        <v>4.42</v>
      </c>
      <c r="H746">
        <v>1.5</v>
      </c>
    </row>
    <row r="747" spans="2:8">
      <c r="B747" s="3">
        <v>45610</v>
      </c>
      <c r="C747" t="s">
        <v>33</v>
      </c>
      <c r="D747">
        <f>VLOOKUP(C747,成本价!$C$2:$D$59,2,0)*H747</f>
        <v>1.7</v>
      </c>
      <c r="E747">
        <v>6.38</v>
      </c>
      <c r="F747">
        <v>3.5</v>
      </c>
      <c r="G747">
        <f t="shared" si="13"/>
        <v>4.68</v>
      </c>
      <c r="H747">
        <v>1</v>
      </c>
    </row>
    <row r="748" spans="2:8">
      <c r="B748" s="3">
        <v>45610</v>
      </c>
      <c r="C748" t="s">
        <v>71</v>
      </c>
      <c r="D748">
        <f>VLOOKUP(C748,成本价!$C$2:$D$59,2,0)*H748</f>
        <v>3.573</v>
      </c>
      <c r="E748">
        <v>11.9</v>
      </c>
      <c r="F748">
        <v>3.5</v>
      </c>
      <c r="G748">
        <f t="shared" si="13"/>
        <v>8.327</v>
      </c>
      <c r="H748">
        <v>3</v>
      </c>
    </row>
    <row r="749" spans="2:8">
      <c r="B749" s="3">
        <v>45610</v>
      </c>
      <c r="C749" t="s">
        <v>16</v>
      </c>
      <c r="D749">
        <f>VLOOKUP(C749,成本价!$C$2:$D$59,2,0)*H749</f>
        <v>8.1</v>
      </c>
      <c r="E749">
        <v>22.2</v>
      </c>
      <c r="F749">
        <v>3.5</v>
      </c>
      <c r="G749">
        <f t="shared" si="13"/>
        <v>14.1</v>
      </c>
      <c r="H749">
        <v>3</v>
      </c>
    </row>
    <row r="750" spans="2:8">
      <c r="B750" s="3">
        <v>45610</v>
      </c>
      <c r="C750" t="s">
        <v>20</v>
      </c>
      <c r="D750">
        <f>VLOOKUP(C750,成本价!$C$2:$D$59,2,0)*H750</f>
        <v>6</v>
      </c>
      <c r="G750">
        <f t="shared" si="13"/>
        <v>-6</v>
      </c>
      <c r="H750">
        <v>2</v>
      </c>
    </row>
    <row r="751" spans="2:8">
      <c r="B751" s="3">
        <v>45610</v>
      </c>
      <c r="C751" t="s">
        <v>33</v>
      </c>
      <c r="D751">
        <f>VLOOKUP(C751,成本价!$C$2:$D$59,2,0)*H751</f>
        <v>2.55</v>
      </c>
      <c r="E751">
        <v>6.9</v>
      </c>
      <c r="F751">
        <v>3.5</v>
      </c>
      <c r="G751">
        <f t="shared" si="13"/>
        <v>4.35</v>
      </c>
      <c r="H751">
        <v>1.5</v>
      </c>
    </row>
    <row r="752" spans="2:8">
      <c r="B752" s="3">
        <v>45610</v>
      </c>
      <c r="C752" t="s">
        <v>33</v>
      </c>
      <c r="D752">
        <f>VLOOKUP(C752,成本价!$C$2:$D$59,2,0)*H752</f>
        <v>2.55</v>
      </c>
      <c r="E752">
        <v>6.9</v>
      </c>
      <c r="F752">
        <v>3.5</v>
      </c>
      <c r="G752">
        <f t="shared" si="13"/>
        <v>4.35</v>
      </c>
      <c r="H752">
        <v>1.5</v>
      </c>
    </row>
    <row r="753" spans="2:8">
      <c r="B753" s="3">
        <v>45610</v>
      </c>
      <c r="C753" t="s">
        <v>23</v>
      </c>
      <c r="D753">
        <f>VLOOKUP(C753,成本价!$C$2:$D$59,2,0)*H753</f>
        <v>2.08</v>
      </c>
      <c r="E753">
        <v>6.89</v>
      </c>
      <c r="F753">
        <v>3.5</v>
      </c>
      <c r="G753">
        <f t="shared" si="13"/>
        <v>4.81</v>
      </c>
      <c r="H753">
        <v>1</v>
      </c>
    </row>
    <row r="754" spans="2:8">
      <c r="B754" s="3">
        <v>45610</v>
      </c>
      <c r="C754" t="s">
        <v>50</v>
      </c>
      <c r="D754">
        <f>VLOOKUP(C754,成本价!$C$2:$D$59,2,0)*H754</f>
        <v>2.749</v>
      </c>
      <c r="E754">
        <v>11.19</v>
      </c>
      <c r="F754">
        <v>3.5</v>
      </c>
      <c r="G754">
        <f t="shared" si="13"/>
        <v>8.441</v>
      </c>
      <c r="H754">
        <v>1</v>
      </c>
    </row>
    <row r="755" spans="2:8">
      <c r="B755" s="3">
        <v>45610</v>
      </c>
      <c r="C755" t="s">
        <v>49</v>
      </c>
      <c r="D755">
        <f>VLOOKUP(C755,成本价!$C$2:$D$59,2,0)*H755</f>
        <v>1.975</v>
      </c>
      <c r="E755">
        <v>10.23</v>
      </c>
      <c r="F755">
        <v>3.5</v>
      </c>
      <c r="G755">
        <f t="shared" si="13"/>
        <v>8.255</v>
      </c>
      <c r="H755">
        <v>1</v>
      </c>
    </row>
    <row r="756" spans="2:8">
      <c r="B756" s="3">
        <v>45610</v>
      </c>
      <c r="C756" t="s">
        <v>58</v>
      </c>
      <c r="D756">
        <f>VLOOKUP(C756,成本价!$C$2:$D$59,2,0)*H756</f>
        <v>8.4</v>
      </c>
      <c r="E756">
        <v>18.7</v>
      </c>
      <c r="F756">
        <v>3.5</v>
      </c>
      <c r="G756">
        <f t="shared" ref="G756:G811" si="14">E756-D756</f>
        <v>10.3</v>
      </c>
      <c r="H756">
        <v>1</v>
      </c>
    </row>
    <row r="757" spans="2:8">
      <c r="B757" s="3">
        <v>45610</v>
      </c>
      <c r="C757" t="s">
        <v>44</v>
      </c>
      <c r="D757">
        <f>VLOOKUP(C757,成本价!$C$2:$D$59,2,0)*H757</f>
        <v>0.794</v>
      </c>
      <c r="E757">
        <v>3.94</v>
      </c>
      <c r="G757">
        <f t="shared" si="14"/>
        <v>3.146</v>
      </c>
      <c r="H757">
        <v>2</v>
      </c>
    </row>
    <row r="758" spans="2:8">
      <c r="B758" s="3">
        <v>45610</v>
      </c>
      <c r="C758" t="s">
        <v>12</v>
      </c>
      <c r="D758">
        <f>VLOOKUP(C758,成本价!$C$2:$D$59,2,0)*H758</f>
        <v>1.548</v>
      </c>
      <c r="E758">
        <v>9.4</v>
      </c>
      <c r="F758">
        <v>3.5</v>
      </c>
      <c r="G758">
        <f t="shared" si="14"/>
        <v>7.852</v>
      </c>
      <c r="H758">
        <v>4</v>
      </c>
    </row>
    <row r="759" spans="2:8">
      <c r="B759" s="3">
        <v>45610</v>
      </c>
      <c r="C759" t="s">
        <v>44</v>
      </c>
      <c r="D759">
        <f>VLOOKUP(C759,成本价!$C$2:$D$83,2,0)*H759</f>
        <v>0.794</v>
      </c>
      <c r="E759">
        <v>0</v>
      </c>
      <c r="G759">
        <f t="shared" si="14"/>
        <v>-0.794</v>
      </c>
      <c r="H759">
        <v>2</v>
      </c>
    </row>
    <row r="760" spans="2:8">
      <c r="B760" s="3">
        <v>45610</v>
      </c>
      <c r="C760" t="s">
        <v>76</v>
      </c>
      <c r="D760">
        <f>VLOOKUP(C760,成本价!$C$2:$D$83,2,0)*H760</f>
        <v>1.7856</v>
      </c>
      <c r="E760">
        <v>14.5</v>
      </c>
      <c r="F760">
        <v>3.5</v>
      </c>
      <c r="G760">
        <f t="shared" si="14"/>
        <v>12.7144</v>
      </c>
      <c r="H760">
        <v>1</v>
      </c>
    </row>
    <row r="761" spans="2:8">
      <c r="B761" s="3">
        <v>45610</v>
      </c>
      <c r="C761" t="s">
        <v>77</v>
      </c>
      <c r="D761">
        <f>VLOOKUP(C761,成本价!$C$2:$D$83,2,0)*H761</f>
        <v>0.4032</v>
      </c>
      <c r="E761">
        <v>6.85</v>
      </c>
      <c r="F761">
        <v>3.5</v>
      </c>
      <c r="G761">
        <f t="shared" si="14"/>
        <v>6.4468</v>
      </c>
      <c r="H761">
        <v>1</v>
      </c>
    </row>
    <row r="762" spans="2:8">
      <c r="B762" s="3">
        <v>45610</v>
      </c>
      <c r="C762" t="s">
        <v>77</v>
      </c>
      <c r="D762">
        <f>VLOOKUP(C762,成本价!$C$2:$D$83,2,0)*H762</f>
        <v>0.4032</v>
      </c>
      <c r="E762">
        <v>6.85</v>
      </c>
      <c r="F762">
        <v>3.5</v>
      </c>
      <c r="G762">
        <f t="shared" si="14"/>
        <v>6.4468</v>
      </c>
      <c r="H762">
        <v>1</v>
      </c>
    </row>
    <row r="763" spans="2:8">
      <c r="B763" s="3">
        <v>45610</v>
      </c>
      <c r="C763" t="s">
        <v>60</v>
      </c>
      <c r="D763">
        <f>VLOOKUP(C763,成本价!$C$2:$D$83,2,0)*H763</f>
        <v>5.2</v>
      </c>
      <c r="E763">
        <v>17.5</v>
      </c>
      <c r="F763">
        <v>3.5</v>
      </c>
      <c r="G763">
        <f t="shared" si="14"/>
        <v>12.3</v>
      </c>
      <c r="H763">
        <v>1</v>
      </c>
    </row>
    <row r="764" spans="2:8">
      <c r="B764" s="3">
        <v>45610</v>
      </c>
      <c r="C764" t="s">
        <v>36</v>
      </c>
      <c r="D764">
        <f>VLOOKUP(C764,成本价!$C$2:$D$83,2,0)*H764</f>
        <v>2.32</v>
      </c>
      <c r="E764">
        <v>6.89</v>
      </c>
      <c r="F764">
        <v>3.5</v>
      </c>
      <c r="G764">
        <f t="shared" si="14"/>
        <v>4.57</v>
      </c>
      <c r="H764">
        <v>1</v>
      </c>
    </row>
    <row r="765" spans="2:12">
      <c r="B765" s="3">
        <v>45610</v>
      </c>
      <c r="C765" t="s">
        <v>40</v>
      </c>
      <c r="D765">
        <f>VLOOKUP(C765,成本价!$C$2:$D$59,2,0)*H765</f>
        <v>1.88</v>
      </c>
      <c r="E765">
        <v>8.9</v>
      </c>
      <c r="F765">
        <v>3.5</v>
      </c>
      <c r="G765">
        <f t="shared" si="14"/>
        <v>7.02</v>
      </c>
      <c r="H765">
        <v>1</v>
      </c>
      <c r="J765" s="2" t="s">
        <v>74</v>
      </c>
      <c r="L765" s="2"/>
    </row>
    <row r="766" spans="2:10">
      <c r="B766" s="3">
        <v>45610</v>
      </c>
      <c r="C766" t="s">
        <v>50</v>
      </c>
      <c r="D766">
        <f>VLOOKUP(C766,成本价!$C$2:$D$59,2,0)*H766</f>
        <v>2.749</v>
      </c>
      <c r="E766">
        <v>12.98</v>
      </c>
      <c r="F766">
        <v>3.5</v>
      </c>
      <c r="G766">
        <f t="shared" si="14"/>
        <v>10.231</v>
      </c>
      <c r="H766">
        <v>1</v>
      </c>
      <c r="J766" s="2" t="s">
        <v>74</v>
      </c>
    </row>
    <row r="767" spans="2:10">
      <c r="B767" s="3">
        <v>45610</v>
      </c>
      <c r="C767" t="s">
        <v>12</v>
      </c>
      <c r="D767">
        <f>VLOOKUP(C767,成本价!$C$2:$D$59,2,0)*H767</f>
        <v>1.548</v>
      </c>
      <c r="G767">
        <f t="shared" si="14"/>
        <v>-1.548</v>
      </c>
      <c r="H767">
        <v>4</v>
      </c>
      <c r="J767" s="2" t="s">
        <v>74</v>
      </c>
    </row>
    <row r="768" spans="2:10">
      <c r="B768" s="3">
        <v>45610</v>
      </c>
      <c r="C768" t="s">
        <v>33</v>
      </c>
      <c r="D768">
        <f>VLOOKUP(C768,成本价!$C$2:$D$59,2,0)*H768</f>
        <v>1.7</v>
      </c>
      <c r="E768">
        <v>7.89</v>
      </c>
      <c r="F768">
        <v>3.5</v>
      </c>
      <c r="G768">
        <f t="shared" si="14"/>
        <v>6.19</v>
      </c>
      <c r="H768">
        <v>1</v>
      </c>
      <c r="J768" s="2" t="s">
        <v>74</v>
      </c>
    </row>
    <row r="769" spans="2:9">
      <c r="B769" s="3">
        <v>45610</v>
      </c>
      <c r="I769">
        <f>122.37+24.84-10.91</f>
        <v>136.3</v>
      </c>
    </row>
    <row r="770" spans="2:8">
      <c r="B770" s="29">
        <v>45611</v>
      </c>
      <c r="C770" s="43" t="s">
        <v>36</v>
      </c>
      <c r="D770" s="43">
        <f>VLOOKUP(C770,成本价!$C$2:$D$83,2,0)*H770</f>
        <v>3.48</v>
      </c>
      <c r="E770" s="43">
        <v>6.89</v>
      </c>
      <c r="F770" s="43">
        <v>3.5</v>
      </c>
      <c r="G770" s="43">
        <f t="shared" si="14"/>
        <v>3.41</v>
      </c>
      <c r="H770" s="43">
        <v>1.5</v>
      </c>
    </row>
    <row r="771" spans="2:8">
      <c r="B771" s="3">
        <v>45611</v>
      </c>
      <c r="C771" t="s">
        <v>27</v>
      </c>
      <c r="D771">
        <f>VLOOKUP(C771,成本价!$C$2:$D$83,2,0)*H771</f>
        <v>1.8</v>
      </c>
      <c r="E771">
        <v>6.37</v>
      </c>
      <c r="F771">
        <v>3.5</v>
      </c>
      <c r="G771">
        <f t="shared" si="14"/>
        <v>4.57</v>
      </c>
      <c r="H771">
        <v>1</v>
      </c>
    </row>
    <row r="772" spans="2:8">
      <c r="B772" s="3">
        <v>45611</v>
      </c>
      <c r="C772" t="s">
        <v>58</v>
      </c>
      <c r="D772">
        <f>VLOOKUP(C772,成本价!$C$2:$D$83,2,0)*H772</f>
        <v>8.4</v>
      </c>
      <c r="E772">
        <v>17.6</v>
      </c>
      <c r="F772">
        <v>3.5</v>
      </c>
      <c r="G772">
        <f t="shared" si="14"/>
        <v>9.2</v>
      </c>
      <c r="H772">
        <v>1</v>
      </c>
    </row>
    <row r="773" spans="2:8">
      <c r="B773" s="3">
        <v>45611</v>
      </c>
      <c r="C773" t="s">
        <v>33</v>
      </c>
      <c r="D773">
        <f>VLOOKUP(C773,成本价!$C$2:$D$83,2,0)*H773</f>
        <v>6.8</v>
      </c>
      <c r="E773">
        <f>10.92*2</f>
        <v>21.84</v>
      </c>
      <c r="F773">
        <v>3.5</v>
      </c>
      <c r="G773">
        <f t="shared" si="14"/>
        <v>15.04</v>
      </c>
      <c r="H773">
        <v>4</v>
      </c>
    </row>
    <row r="774" spans="2:8">
      <c r="B774" s="3">
        <v>45611</v>
      </c>
      <c r="C774" t="s">
        <v>49</v>
      </c>
      <c r="D774">
        <f>VLOOKUP(C774,成本价!$C$2:$D$83,2,0)*H774</f>
        <v>1.975</v>
      </c>
      <c r="E774">
        <v>10.03</v>
      </c>
      <c r="F774">
        <v>3.5</v>
      </c>
      <c r="G774">
        <f t="shared" si="14"/>
        <v>8.055</v>
      </c>
      <c r="H774">
        <v>1</v>
      </c>
    </row>
    <row r="775" spans="2:8">
      <c r="B775" s="3">
        <v>45611</v>
      </c>
      <c r="C775" t="s">
        <v>77</v>
      </c>
      <c r="D775">
        <f>VLOOKUP(C775,成本价!$C$2:$D$83,2,0)*H775</f>
        <v>0.4032</v>
      </c>
      <c r="E775">
        <v>6.84</v>
      </c>
      <c r="F775">
        <v>3.5</v>
      </c>
      <c r="G775">
        <f t="shared" si="14"/>
        <v>6.4368</v>
      </c>
      <c r="H775">
        <v>1</v>
      </c>
    </row>
    <row r="776" spans="2:8">
      <c r="B776" s="3">
        <v>45611</v>
      </c>
      <c r="C776" t="s">
        <v>55</v>
      </c>
      <c r="D776">
        <f>VLOOKUP(C776,成本价!$C$2:$D$83,2,0)*H776</f>
        <v>3.513</v>
      </c>
      <c r="E776">
        <v>10.49</v>
      </c>
      <c r="F776">
        <v>3.5</v>
      </c>
      <c r="G776">
        <f t="shared" si="14"/>
        <v>6.977</v>
      </c>
      <c r="H776">
        <v>3</v>
      </c>
    </row>
    <row r="777" spans="2:8">
      <c r="B777" s="44">
        <v>45611</v>
      </c>
      <c r="C777" s="43" t="s">
        <v>37</v>
      </c>
      <c r="D777" s="43">
        <f>VLOOKUP(C777,成本价!$C$2:$D$83,2,0)*H777</f>
        <v>3.81</v>
      </c>
      <c r="E777" s="43">
        <v>6.88</v>
      </c>
      <c r="F777" s="43">
        <v>3.5</v>
      </c>
      <c r="G777" s="43">
        <f t="shared" si="14"/>
        <v>3.07</v>
      </c>
      <c r="H777" s="43">
        <v>1.5</v>
      </c>
    </row>
    <row r="778" spans="2:8">
      <c r="B778" s="3">
        <v>45611</v>
      </c>
      <c r="C778" t="s">
        <v>27</v>
      </c>
      <c r="D778">
        <f>VLOOKUP(C778,成本价!$C$2:$D$83,2,0)*H778</f>
        <v>5.4</v>
      </c>
      <c r="E778">
        <f>6.38*3</f>
        <v>19.14</v>
      </c>
      <c r="F778">
        <v>3.5</v>
      </c>
      <c r="G778">
        <f t="shared" si="14"/>
        <v>13.74</v>
      </c>
      <c r="H778">
        <v>3</v>
      </c>
    </row>
    <row r="779" spans="2:8">
      <c r="B779" s="3">
        <v>45611</v>
      </c>
      <c r="C779" t="s">
        <v>33</v>
      </c>
      <c r="D779">
        <f>VLOOKUP(C779,成本价!$C$2:$D$83,2,0)*H779</f>
        <v>1.7</v>
      </c>
      <c r="E779">
        <v>6.38</v>
      </c>
      <c r="F779">
        <v>0</v>
      </c>
      <c r="G779">
        <f t="shared" si="14"/>
        <v>4.68</v>
      </c>
      <c r="H779">
        <v>1</v>
      </c>
    </row>
    <row r="780" spans="2:8">
      <c r="B780" s="3">
        <v>45611</v>
      </c>
      <c r="C780" t="s">
        <v>76</v>
      </c>
      <c r="D780">
        <f>VLOOKUP(C780,成本价!$C$2:$D$83,2,0)*H780</f>
        <v>1.7856</v>
      </c>
      <c r="E780">
        <v>10.99</v>
      </c>
      <c r="F780">
        <v>3.5</v>
      </c>
      <c r="G780">
        <f t="shared" si="14"/>
        <v>9.2044</v>
      </c>
      <c r="H780">
        <v>1</v>
      </c>
    </row>
    <row r="781" spans="2:8">
      <c r="B781" s="3">
        <v>45611</v>
      </c>
      <c r="C781" t="s">
        <v>27</v>
      </c>
      <c r="D781">
        <f>VLOOKUP(C781,成本价!$C$2:$D$83,2,0)*H781</f>
        <v>1.8</v>
      </c>
      <c r="E781">
        <v>5.46</v>
      </c>
      <c r="F781">
        <v>3.5</v>
      </c>
      <c r="G781">
        <f t="shared" si="14"/>
        <v>3.66</v>
      </c>
      <c r="H781">
        <v>1</v>
      </c>
    </row>
    <row r="782" spans="2:8">
      <c r="B782" s="44">
        <v>45611</v>
      </c>
      <c r="C782" s="43" t="s">
        <v>36</v>
      </c>
      <c r="D782" s="43">
        <f>VLOOKUP(C782,成本价!$C$2:$D$83,2,0)*H782</f>
        <v>3.48</v>
      </c>
      <c r="E782" s="43">
        <v>6.88</v>
      </c>
      <c r="F782" s="43">
        <v>3.5</v>
      </c>
      <c r="G782" s="43">
        <f t="shared" si="14"/>
        <v>3.4</v>
      </c>
      <c r="H782" s="43">
        <v>1.5</v>
      </c>
    </row>
    <row r="783" spans="2:8">
      <c r="B783" s="3">
        <v>45611</v>
      </c>
      <c r="C783" t="s">
        <v>33</v>
      </c>
      <c r="D783">
        <f>VLOOKUP(C783,成本价!$C$2:$D$83,2,0)*H783</f>
        <v>1.7</v>
      </c>
      <c r="E783">
        <v>6.38</v>
      </c>
      <c r="F783">
        <v>3.5</v>
      </c>
      <c r="G783">
        <f t="shared" si="14"/>
        <v>4.68</v>
      </c>
      <c r="H783">
        <v>1</v>
      </c>
    </row>
    <row r="784" spans="2:8">
      <c r="B784" s="3">
        <v>45611</v>
      </c>
      <c r="C784" t="s">
        <v>27</v>
      </c>
      <c r="D784">
        <f>VLOOKUP(C784,成本价!$C$2:$D$83,2,0)*H784</f>
        <v>3.6</v>
      </c>
      <c r="E784">
        <f>6.38*2</f>
        <v>12.76</v>
      </c>
      <c r="F784">
        <v>0</v>
      </c>
      <c r="G784">
        <f t="shared" si="14"/>
        <v>9.16</v>
      </c>
      <c r="H784">
        <v>2</v>
      </c>
    </row>
    <row r="785" spans="2:8">
      <c r="B785" s="3">
        <v>45611</v>
      </c>
      <c r="C785" t="s">
        <v>76</v>
      </c>
      <c r="D785">
        <f>VLOOKUP(C785,成本价!$C$2:$D$83,2,0)*H785</f>
        <v>1.7856</v>
      </c>
      <c r="E785">
        <v>10.99</v>
      </c>
      <c r="F785">
        <v>3.5</v>
      </c>
      <c r="G785">
        <f t="shared" si="14"/>
        <v>9.2044</v>
      </c>
      <c r="H785">
        <v>1</v>
      </c>
    </row>
    <row r="786" spans="2:8">
      <c r="B786" s="3">
        <v>45611</v>
      </c>
      <c r="C786" t="s">
        <v>40</v>
      </c>
      <c r="D786">
        <f>VLOOKUP(C786,成本价!$C$2:$D$83,2,0)*H786</f>
        <v>5.64</v>
      </c>
      <c r="E786">
        <v>13.56</v>
      </c>
      <c r="F786">
        <v>3.5</v>
      </c>
      <c r="G786">
        <f t="shared" si="14"/>
        <v>7.92</v>
      </c>
      <c r="H786">
        <v>3</v>
      </c>
    </row>
    <row r="787" spans="2:8">
      <c r="B787" s="3">
        <v>45611</v>
      </c>
      <c r="C787" t="s">
        <v>65</v>
      </c>
      <c r="D787">
        <f>VLOOKUP(C787,成本价!$C$2:$D$83,2,0)*H787</f>
        <v>5.3</v>
      </c>
      <c r="E787">
        <v>17.3</v>
      </c>
      <c r="F787">
        <v>3.5</v>
      </c>
      <c r="G787">
        <f t="shared" si="14"/>
        <v>12</v>
      </c>
      <c r="H787">
        <v>1</v>
      </c>
    </row>
    <row r="788" spans="2:8">
      <c r="B788" s="3">
        <v>45611</v>
      </c>
      <c r="C788" t="s">
        <v>33</v>
      </c>
      <c r="D788">
        <f>VLOOKUP(C788,成本价!$C$2:$D$83,2,0)*H788</f>
        <v>2.55</v>
      </c>
      <c r="E788">
        <v>6.88</v>
      </c>
      <c r="F788">
        <v>3.5</v>
      </c>
      <c r="G788">
        <f t="shared" si="14"/>
        <v>4.33</v>
      </c>
      <c r="H788">
        <v>1.5</v>
      </c>
    </row>
    <row r="789" spans="2:8">
      <c r="B789" s="3">
        <v>45611</v>
      </c>
      <c r="C789" t="s">
        <v>12</v>
      </c>
      <c r="D789">
        <f>VLOOKUP(C789,成本价!$C$2:$D$83,2,0)*H789</f>
        <v>5.805</v>
      </c>
      <c r="E789">
        <v>18.86</v>
      </c>
      <c r="F789">
        <v>3.5</v>
      </c>
      <c r="G789">
        <f t="shared" si="14"/>
        <v>13.055</v>
      </c>
      <c r="H789">
        <v>15</v>
      </c>
    </row>
    <row r="790" spans="2:8">
      <c r="B790" s="3">
        <v>45611</v>
      </c>
      <c r="C790" t="s">
        <v>44</v>
      </c>
      <c r="D790">
        <f>VLOOKUP(C790,成本价!$C$2:$D$83,2,0)*H790</f>
        <v>0.397</v>
      </c>
      <c r="E790">
        <v>0</v>
      </c>
      <c r="G790">
        <f t="shared" si="14"/>
        <v>-0.397</v>
      </c>
      <c r="H790">
        <v>1</v>
      </c>
    </row>
    <row r="791" spans="2:8">
      <c r="B791" s="44">
        <v>45611</v>
      </c>
      <c r="C791" s="43" t="s">
        <v>12</v>
      </c>
      <c r="D791" s="43">
        <f>VLOOKUP(C791,成本价!$C$2:$D$83,2,0)*H791</f>
        <v>0.774</v>
      </c>
      <c r="E791" s="43">
        <v>3.93</v>
      </c>
      <c r="F791" s="43">
        <v>3.5</v>
      </c>
      <c r="G791" s="43">
        <f t="shared" si="14"/>
        <v>3.156</v>
      </c>
      <c r="H791" s="43">
        <v>2</v>
      </c>
    </row>
    <row r="792" spans="2:17">
      <c r="B792" s="3">
        <v>45611</v>
      </c>
      <c r="C792" t="s">
        <v>33</v>
      </c>
      <c r="D792">
        <f>VLOOKUP(C792,成本价!$C$2:$D$83,2,0)*H792</f>
        <v>2.55</v>
      </c>
      <c r="E792">
        <v>6.88</v>
      </c>
      <c r="F792">
        <v>3.5</v>
      </c>
      <c r="G792">
        <f t="shared" si="14"/>
        <v>4.33</v>
      </c>
      <c r="H792">
        <v>1.5</v>
      </c>
      <c r="P792" s="2"/>
      <c r="Q792" s="2"/>
    </row>
    <row r="793" spans="2:8">
      <c r="B793" s="44">
        <v>45611</v>
      </c>
      <c r="C793" s="43" t="s">
        <v>78</v>
      </c>
      <c r="D793" s="43">
        <f>VLOOKUP(C793,成本价!$C$2:$D$83,2,0)*H793</f>
        <v>0.1728</v>
      </c>
      <c r="E793" s="43">
        <v>2.99</v>
      </c>
      <c r="F793" s="43">
        <v>3.5</v>
      </c>
      <c r="G793" s="43">
        <f t="shared" si="14"/>
        <v>2.8172</v>
      </c>
      <c r="H793" s="43">
        <v>1</v>
      </c>
    </row>
    <row r="794" spans="2:8">
      <c r="B794" s="3">
        <v>45611</v>
      </c>
      <c r="C794" t="s">
        <v>55</v>
      </c>
      <c r="D794">
        <f>VLOOKUP(C794,成本价!$C$2:$D$83,2,0)*H794</f>
        <v>3.513</v>
      </c>
      <c r="E794">
        <v>10.49</v>
      </c>
      <c r="F794">
        <v>3.5</v>
      </c>
      <c r="G794">
        <f t="shared" si="14"/>
        <v>6.977</v>
      </c>
      <c r="H794">
        <v>3</v>
      </c>
    </row>
    <row r="795" spans="2:8">
      <c r="B795" s="3">
        <v>45611</v>
      </c>
      <c r="C795" t="s">
        <v>58</v>
      </c>
      <c r="D795">
        <f>VLOOKUP(C795,成本价!$C$2:$D$83,2,0)*H795</f>
        <v>8.4</v>
      </c>
      <c r="E795">
        <v>17.6</v>
      </c>
      <c r="F795">
        <v>3.5</v>
      </c>
      <c r="G795">
        <f t="shared" si="14"/>
        <v>9.2</v>
      </c>
      <c r="H795">
        <v>1</v>
      </c>
    </row>
    <row r="796" spans="2:8">
      <c r="B796" s="3">
        <v>45611</v>
      </c>
      <c r="C796" t="s">
        <v>37</v>
      </c>
      <c r="D796">
        <f>VLOOKUP(C796,成本价!$C$2:$D$83,2,0)*H796</f>
        <v>7.62</v>
      </c>
      <c r="E796">
        <f>6.88*2</f>
        <v>13.76</v>
      </c>
      <c r="F796">
        <v>3.5</v>
      </c>
      <c r="G796">
        <f t="shared" si="14"/>
        <v>6.14</v>
      </c>
      <c r="H796">
        <v>3</v>
      </c>
    </row>
    <row r="797" spans="2:8">
      <c r="B797" s="3">
        <v>45611</v>
      </c>
      <c r="C797" t="s">
        <v>50</v>
      </c>
      <c r="D797">
        <f>VLOOKUP(C797,成本价!$C$2:$D$83,2,0)*H797</f>
        <v>2.749</v>
      </c>
      <c r="E797">
        <v>10.29</v>
      </c>
      <c r="F797">
        <v>3.5</v>
      </c>
      <c r="G797">
        <f t="shared" si="14"/>
        <v>7.541</v>
      </c>
      <c r="H797">
        <v>1</v>
      </c>
    </row>
    <row r="798" spans="2:8">
      <c r="B798" s="3">
        <v>45611</v>
      </c>
      <c r="C798" t="s">
        <v>50</v>
      </c>
      <c r="D798">
        <f>VLOOKUP(C798,成本价!$C$2:$D$83,2,0)*H798</f>
        <v>2.749</v>
      </c>
      <c r="E798">
        <v>10.29</v>
      </c>
      <c r="F798">
        <v>3.5</v>
      </c>
      <c r="G798">
        <f t="shared" si="14"/>
        <v>7.541</v>
      </c>
      <c r="H798">
        <v>1</v>
      </c>
    </row>
    <row r="799" spans="2:8">
      <c r="B799" s="3">
        <v>45611</v>
      </c>
      <c r="C799" t="s">
        <v>55</v>
      </c>
      <c r="D799">
        <f>VLOOKUP(C799,成本价!$C$2:$D$83,2,0)*H799</f>
        <v>3.513</v>
      </c>
      <c r="E799">
        <v>10.49</v>
      </c>
      <c r="F799">
        <v>3.5</v>
      </c>
      <c r="G799">
        <f t="shared" si="14"/>
        <v>6.977</v>
      </c>
      <c r="H799">
        <v>3</v>
      </c>
    </row>
    <row r="800" spans="2:8">
      <c r="B800" s="3">
        <v>45611</v>
      </c>
      <c r="C800" t="s">
        <v>27</v>
      </c>
      <c r="D800">
        <f>VLOOKUP(C800,成本价!$C$2:$D$83,2,0)*H800</f>
        <v>2.7</v>
      </c>
      <c r="E800">
        <v>6.88</v>
      </c>
      <c r="F800">
        <v>3.5</v>
      </c>
      <c r="G800">
        <f t="shared" si="14"/>
        <v>4.18</v>
      </c>
      <c r="H800">
        <v>1.5</v>
      </c>
    </row>
    <row r="801" spans="2:8">
      <c r="B801" s="3">
        <v>45611</v>
      </c>
      <c r="C801" t="s">
        <v>37</v>
      </c>
      <c r="D801">
        <f>VLOOKUP(C801,成本价!$C$2:$D$83,2,0)*H801</f>
        <v>2.54</v>
      </c>
      <c r="E801">
        <v>8.28</v>
      </c>
      <c r="F801">
        <v>3.5</v>
      </c>
      <c r="G801">
        <f t="shared" si="14"/>
        <v>5.74</v>
      </c>
      <c r="H801">
        <v>1</v>
      </c>
    </row>
    <row r="802" spans="2:9">
      <c r="B802" s="44">
        <v>45611</v>
      </c>
      <c r="C802" s="43" t="s">
        <v>36</v>
      </c>
      <c r="D802" s="43">
        <f>VLOOKUP(C802,成本价!$C$2:$D$83,2,0)*H802</f>
        <v>3.48</v>
      </c>
      <c r="E802" s="43">
        <v>6.88</v>
      </c>
      <c r="F802" s="43">
        <v>3.5</v>
      </c>
      <c r="G802" s="43">
        <f t="shared" si="14"/>
        <v>3.4</v>
      </c>
      <c r="H802" s="43">
        <v>1.5</v>
      </c>
      <c r="I802" s="43"/>
    </row>
    <row r="803" spans="2:8">
      <c r="B803" s="3">
        <v>45611</v>
      </c>
      <c r="C803" t="s">
        <v>75</v>
      </c>
      <c r="D803">
        <f>VLOOKUP(C803,成本价!$C$2:$D$83,2,0)*H803</f>
        <v>15.12</v>
      </c>
      <c r="E803">
        <v>39.05</v>
      </c>
      <c r="F803">
        <v>3.5</v>
      </c>
      <c r="G803">
        <f t="shared" si="14"/>
        <v>23.93</v>
      </c>
      <c r="H803">
        <v>1</v>
      </c>
    </row>
    <row r="804" spans="2:9">
      <c r="B804" s="3">
        <v>45611</v>
      </c>
      <c r="I804">
        <f>138.41+10.91-4.83</f>
        <v>144.49</v>
      </c>
    </row>
    <row r="805" spans="2:8">
      <c r="B805" s="29">
        <v>45612</v>
      </c>
      <c r="C805" t="s">
        <v>60</v>
      </c>
      <c r="D805">
        <f>VLOOKUP(C805,成本价!$C$2:$D$83,2,0)*H805</f>
        <v>5.2</v>
      </c>
      <c r="E805">
        <v>17.3</v>
      </c>
      <c r="F805">
        <v>3.5</v>
      </c>
      <c r="G805">
        <f t="shared" si="14"/>
        <v>12.1</v>
      </c>
      <c r="H805">
        <v>1</v>
      </c>
    </row>
    <row r="806" spans="2:8">
      <c r="B806" s="3">
        <v>45612</v>
      </c>
      <c r="C806" t="s">
        <v>33</v>
      </c>
      <c r="D806">
        <f>VLOOKUP(C806,成本价!$C$2:$D$83,2,0)*H806</f>
        <v>1.7</v>
      </c>
      <c r="E806">
        <v>6.36</v>
      </c>
      <c r="F806">
        <v>3.5</v>
      </c>
      <c r="G806">
        <f t="shared" si="14"/>
        <v>4.66</v>
      </c>
      <c r="H806">
        <v>1</v>
      </c>
    </row>
    <row r="807" spans="2:8">
      <c r="B807" s="3">
        <v>45612</v>
      </c>
      <c r="C807" t="s">
        <v>50</v>
      </c>
      <c r="D807">
        <f>VLOOKUP(C807,成本价!$C$2:$D$83,2,0)*H807</f>
        <v>2.749</v>
      </c>
      <c r="E807">
        <v>10.29</v>
      </c>
      <c r="F807">
        <v>3.5</v>
      </c>
      <c r="G807">
        <f t="shared" si="14"/>
        <v>7.541</v>
      </c>
      <c r="H807">
        <v>1</v>
      </c>
    </row>
    <row r="808" spans="2:8">
      <c r="B808" s="3">
        <v>45612</v>
      </c>
      <c r="C808" t="s">
        <v>33</v>
      </c>
      <c r="D808">
        <f>VLOOKUP(C808,成本价!$C$2:$D$83,2,0)*H808</f>
        <v>5.1</v>
      </c>
      <c r="E808">
        <v>13.56</v>
      </c>
      <c r="F808">
        <v>3.5</v>
      </c>
      <c r="G808">
        <f t="shared" si="14"/>
        <v>8.46</v>
      </c>
      <c r="H808">
        <v>3</v>
      </c>
    </row>
    <row r="809" spans="2:8">
      <c r="B809" s="3">
        <v>45612</v>
      </c>
      <c r="C809" t="s">
        <v>16</v>
      </c>
      <c r="D809">
        <f>VLOOKUP(C809,成本价!$C$2:$D$83,2,0)*H809</f>
        <v>8.1</v>
      </c>
      <c r="E809">
        <v>27.6</v>
      </c>
      <c r="F809">
        <v>3.5</v>
      </c>
      <c r="G809">
        <f t="shared" si="14"/>
        <v>19.5</v>
      </c>
      <c r="H809">
        <v>3</v>
      </c>
    </row>
    <row r="810" spans="2:8">
      <c r="B810" s="3">
        <v>45612</v>
      </c>
      <c r="C810" t="s">
        <v>20</v>
      </c>
      <c r="D810">
        <f>VLOOKUP(C810,成本价!$C$2:$D$83,2,0)*H810</f>
        <v>6</v>
      </c>
      <c r="E810">
        <v>0</v>
      </c>
      <c r="G810">
        <f t="shared" si="14"/>
        <v>-6</v>
      </c>
      <c r="H810">
        <v>2</v>
      </c>
    </row>
    <row r="811" spans="2:8">
      <c r="B811" s="3">
        <v>45612</v>
      </c>
      <c r="C811" t="s">
        <v>55</v>
      </c>
      <c r="D811">
        <f>VLOOKUP(C811,成本价!$C$2:$D$83,2,0)*H811</f>
        <v>3.513</v>
      </c>
      <c r="E811">
        <v>10.49</v>
      </c>
      <c r="F811">
        <v>3.5</v>
      </c>
      <c r="G811">
        <f t="shared" si="14"/>
        <v>6.977</v>
      </c>
      <c r="H811">
        <v>3</v>
      </c>
    </row>
    <row r="812" spans="2:8">
      <c r="B812" s="3">
        <v>45612</v>
      </c>
      <c r="C812" t="s">
        <v>58</v>
      </c>
      <c r="D812">
        <f>VLOOKUP(C812,成本价!$C$2:$D$83,2,0)*H812</f>
        <v>8.4</v>
      </c>
      <c r="E812">
        <v>17.6</v>
      </c>
      <c r="F812">
        <v>3.5</v>
      </c>
      <c r="G812">
        <f t="shared" ref="G812:G862" si="15">E812-D812</f>
        <v>9.2</v>
      </c>
      <c r="H812">
        <v>1</v>
      </c>
    </row>
    <row r="813" spans="2:8">
      <c r="B813" s="3">
        <v>45612</v>
      </c>
      <c r="C813" t="s">
        <v>61</v>
      </c>
      <c r="D813">
        <f>VLOOKUP(C813,成本价!$C$2:$D$83,2,0)*H813</f>
        <v>20.1</v>
      </c>
      <c r="E813">
        <v>37.7</v>
      </c>
      <c r="F813">
        <v>3.5</v>
      </c>
      <c r="G813">
        <f t="shared" si="15"/>
        <v>17.6</v>
      </c>
      <c r="H813">
        <v>1</v>
      </c>
    </row>
    <row r="814" spans="2:8">
      <c r="B814" s="3">
        <v>45612</v>
      </c>
      <c r="C814" t="s">
        <v>68</v>
      </c>
      <c r="D814">
        <f>VLOOKUP(C814,成本价!$C$2:$D$83,2,0)*H814</f>
        <v>18</v>
      </c>
      <c r="E814">
        <v>33.8</v>
      </c>
      <c r="F814">
        <v>0</v>
      </c>
      <c r="G814">
        <f t="shared" si="15"/>
        <v>15.8</v>
      </c>
      <c r="H814">
        <v>1</v>
      </c>
    </row>
    <row r="815" spans="2:8">
      <c r="B815" s="3">
        <v>45612</v>
      </c>
      <c r="C815" t="s">
        <v>33</v>
      </c>
      <c r="D815">
        <f>VLOOKUP(C815,成本价!$C$2:$D$83,2,0)*H815</f>
        <v>2.55</v>
      </c>
      <c r="E815">
        <v>6.89</v>
      </c>
      <c r="F815">
        <v>3.5</v>
      </c>
      <c r="G815">
        <f t="shared" si="15"/>
        <v>4.34</v>
      </c>
      <c r="H815">
        <v>1.5</v>
      </c>
    </row>
    <row r="816" spans="2:8">
      <c r="B816" s="3">
        <v>45612</v>
      </c>
      <c r="C816" t="s">
        <v>76</v>
      </c>
      <c r="D816">
        <f>VLOOKUP(C816,成本价!$C$2:$D$83,2,0)*H816</f>
        <v>1.7856</v>
      </c>
      <c r="E816">
        <v>14.58</v>
      </c>
      <c r="F816">
        <v>3.5</v>
      </c>
      <c r="G816">
        <f t="shared" si="15"/>
        <v>12.7944</v>
      </c>
      <c r="H816">
        <v>1</v>
      </c>
    </row>
    <row r="817" spans="2:8">
      <c r="B817" s="3">
        <v>45612</v>
      </c>
      <c r="C817" t="s">
        <v>50</v>
      </c>
      <c r="D817">
        <f>VLOOKUP(C817,成本价!$C$2:$D$83,2,0)*H817</f>
        <v>2.749</v>
      </c>
      <c r="E817">
        <v>10.29</v>
      </c>
      <c r="F817">
        <v>3.5</v>
      </c>
      <c r="G817">
        <f t="shared" si="15"/>
        <v>7.541</v>
      </c>
      <c r="H817">
        <v>1</v>
      </c>
    </row>
    <row r="818" spans="2:8">
      <c r="B818" s="3">
        <v>45612</v>
      </c>
      <c r="C818" t="s">
        <v>55</v>
      </c>
      <c r="D818">
        <f>VLOOKUP(C818,成本价!$C$2:$D$83,2,0)*H818</f>
        <v>1.171</v>
      </c>
      <c r="E818">
        <v>8.39</v>
      </c>
      <c r="F818">
        <v>3.5</v>
      </c>
      <c r="G818">
        <f t="shared" si="15"/>
        <v>7.219</v>
      </c>
      <c r="H818">
        <v>1</v>
      </c>
    </row>
    <row r="819" spans="2:8">
      <c r="B819" s="3">
        <v>45612</v>
      </c>
      <c r="C819" t="s">
        <v>77</v>
      </c>
      <c r="D819">
        <f>VLOOKUP(C819,成本价!$C$2:$D$83,2,0)*H819</f>
        <v>0.4032</v>
      </c>
      <c r="E819">
        <v>6.84</v>
      </c>
      <c r="F819">
        <v>3.5</v>
      </c>
      <c r="G819">
        <f t="shared" si="15"/>
        <v>6.4368</v>
      </c>
      <c r="H819">
        <v>1</v>
      </c>
    </row>
    <row r="820" spans="2:8">
      <c r="B820" s="3">
        <v>45612</v>
      </c>
      <c r="C820" t="s">
        <v>49</v>
      </c>
      <c r="D820">
        <f>VLOOKUP(C820,成本价!$C$2:$D$83,2,0)*H820</f>
        <v>1.975</v>
      </c>
      <c r="E820">
        <v>10.03</v>
      </c>
      <c r="F820">
        <v>3.5</v>
      </c>
      <c r="G820">
        <f t="shared" si="15"/>
        <v>8.055</v>
      </c>
      <c r="H820">
        <v>1</v>
      </c>
    </row>
    <row r="821" spans="2:8">
      <c r="B821" s="3">
        <v>45612</v>
      </c>
      <c r="C821" t="s">
        <v>78</v>
      </c>
      <c r="D821">
        <f>VLOOKUP(C821,成本价!$C$2:$D$83,2,0)*H821</f>
        <v>0.1728</v>
      </c>
      <c r="E821">
        <v>3.83</v>
      </c>
      <c r="F821">
        <v>3.5</v>
      </c>
      <c r="G821">
        <f t="shared" si="15"/>
        <v>3.6572</v>
      </c>
      <c r="H821">
        <v>1</v>
      </c>
    </row>
    <row r="822" spans="2:8">
      <c r="B822" s="3">
        <v>45612</v>
      </c>
      <c r="C822" t="s">
        <v>55</v>
      </c>
      <c r="D822">
        <f>VLOOKUP(C822,成本价!$C$2:$D$83,2,0)*H822</f>
        <v>3.513</v>
      </c>
      <c r="E822">
        <v>10.49</v>
      </c>
      <c r="F822">
        <v>3.5</v>
      </c>
      <c r="G822">
        <f t="shared" si="15"/>
        <v>6.977</v>
      </c>
      <c r="H822">
        <v>3</v>
      </c>
    </row>
    <row r="823" spans="2:8">
      <c r="B823" s="3">
        <v>45612</v>
      </c>
      <c r="C823" t="s">
        <v>27</v>
      </c>
      <c r="D823">
        <f>VLOOKUP(C823,成本价!$C$2:$D$83,2,0)*H823</f>
        <v>1.8</v>
      </c>
      <c r="E823">
        <v>6.36</v>
      </c>
      <c r="F823">
        <v>3.5</v>
      </c>
      <c r="G823">
        <f t="shared" si="15"/>
        <v>4.56</v>
      </c>
      <c r="H823">
        <v>1</v>
      </c>
    </row>
    <row r="824" spans="2:8">
      <c r="B824" s="3">
        <v>45612</v>
      </c>
      <c r="C824" t="s">
        <v>77</v>
      </c>
      <c r="D824">
        <f>VLOOKUP(C824,成本价!$C$2:$D$83,2,0)*H824</f>
        <v>0.4032</v>
      </c>
      <c r="E824">
        <v>7.84</v>
      </c>
      <c r="F824">
        <v>3.5</v>
      </c>
      <c r="G824">
        <f t="shared" si="15"/>
        <v>7.4368</v>
      </c>
      <c r="H824">
        <v>1</v>
      </c>
    </row>
    <row r="825" spans="2:9">
      <c r="B825" s="44">
        <v>45612</v>
      </c>
      <c r="C825" s="43" t="s">
        <v>36</v>
      </c>
      <c r="D825" s="43">
        <f>VLOOKUP(C825,成本价!$C$2:$D$83,2,0)*H825</f>
        <v>3.48</v>
      </c>
      <c r="E825" s="43">
        <v>6.89</v>
      </c>
      <c r="F825" s="43">
        <v>3.5</v>
      </c>
      <c r="G825" s="43">
        <f t="shared" si="15"/>
        <v>3.41</v>
      </c>
      <c r="H825" s="43">
        <v>1.5</v>
      </c>
      <c r="I825" s="43"/>
    </row>
    <row r="826" spans="2:8">
      <c r="B826" s="3">
        <v>45612</v>
      </c>
      <c r="C826" t="s">
        <v>77</v>
      </c>
      <c r="D826">
        <f>VLOOKUP(C826,成本价!$C$2:$D$83,2,0)*H826</f>
        <v>0.4032</v>
      </c>
      <c r="E826">
        <v>7.84</v>
      </c>
      <c r="F826">
        <v>3.5</v>
      </c>
      <c r="G826">
        <f t="shared" si="15"/>
        <v>7.4368</v>
      </c>
      <c r="H826">
        <v>1</v>
      </c>
    </row>
    <row r="827" spans="2:8">
      <c r="B827" s="3">
        <v>45612</v>
      </c>
      <c r="C827" t="s">
        <v>79</v>
      </c>
      <c r="D827">
        <f>VLOOKUP(C827,成本价!$C$2:$D$83,2,0)*H827</f>
        <v>12.3</v>
      </c>
      <c r="E827">
        <v>39.6</v>
      </c>
      <c r="F827">
        <v>3.5</v>
      </c>
      <c r="G827">
        <f t="shared" si="15"/>
        <v>27.3</v>
      </c>
      <c r="H827">
        <v>1</v>
      </c>
    </row>
    <row r="828" spans="2:8">
      <c r="B828" s="3">
        <v>45612</v>
      </c>
      <c r="C828" t="s">
        <v>50</v>
      </c>
      <c r="D828">
        <f>VLOOKUP(C828,成本价!$C$2:$D$83,2,0)*H828</f>
        <v>2.749</v>
      </c>
      <c r="E828">
        <v>10.3</v>
      </c>
      <c r="F828">
        <v>3.5</v>
      </c>
      <c r="G828">
        <f t="shared" si="15"/>
        <v>7.551</v>
      </c>
      <c r="H828">
        <v>1</v>
      </c>
    </row>
    <row r="829" spans="2:8">
      <c r="B829" s="3">
        <v>45612</v>
      </c>
      <c r="C829" t="s">
        <v>76</v>
      </c>
      <c r="D829">
        <f>VLOOKUP(C829,成本价!$C$2:$D$83,2,0)*H829</f>
        <v>1.7856</v>
      </c>
      <c r="E829">
        <v>15.5</v>
      </c>
      <c r="F829">
        <v>3.5</v>
      </c>
      <c r="G829">
        <f t="shared" si="15"/>
        <v>13.7144</v>
      </c>
      <c r="H829">
        <v>1</v>
      </c>
    </row>
    <row r="830" spans="2:8">
      <c r="B830" s="3">
        <v>45612</v>
      </c>
      <c r="C830" t="s">
        <v>77</v>
      </c>
      <c r="D830">
        <f>VLOOKUP(C830,成本价!$C$2:$D$83,2,0)*H830</f>
        <v>0.4032</v>
      </c>
      <c r="E830">
        <v>7.84</v>
      </c>
      <c r="F830">
        <v>3.5</v>
      </c>
      <c r="G830">
        <f t="shared" si="15"/>
        <v>7.4368</v>
      </c>
      <c r="H830">
        <v>1</v>
      </c>
    </row>
    <row r="831" spans="2:8">
      <c r="B831" s="3">
        <v>45612</v>
      </c>
      <c r="C831" t="s">
        <v>78</v>
      </c>
      <c r="D831">
        <f>VLOOKUP(C831,成本价!$C$2:$D$83,2,0)*H831</f>
        <v>0.1728</v>
      </c>
      <c r="E831">
        <v>4.94</v>
      </c>
      <c r="F831">
        <v>3.5</v>
      </c>
      <c r="G831">
        <f t="shared" si="15"/>
        <v>4.7672</v>
      </c>
      <c r="H831">
        <v>1</v>
      </c>
    </row>
    <row r="832" spans="2:8">
      <c r="B832" s="3">
        <v>45612</v>
      </c>
      <c r="C832" t="s">
        <v>55</v>
      </c>
      <c r="D832">
        <f>VLOOKUP(C832,成本价!$C$2:$D$83,2,0)*H832</f>
        <v>3.513</v>
      </c>
      <c r="E832">
        <v>13.11</v>
      </c>
      <c r="F832">
        <v>3.5</v>
      </c>
      <c r="G832">
        <f t="shared" si="15"/>
        <v>9.597</v>
      </c>
      <c r="H832">
        <v>3</v>
      </c>
    </row>
    <row r="833" spans="2:8">
      <c r="B833" s="3">
        <v>45612</v>
      </c>
      <c r="C833" t="s">
        <v>76</v>
      </c>
      <c r="D833">
        <f>VLOOKUP(C833,成本价!$C$2:$D$83,2,0)*H833</f>
        <v>1.7856</v>
      </c>
      <c r="E833">
        <v>15.5</v>
      </c>
      <c r="F833">
        <v>3.5</v>
      </c>
      <c r="G833">
        <f t="shared" si="15"/>
        <v>13.7144</v>
      </c>
      <c r="H833">
        <v>1</v>
      </c>
    </row>
    <row r="834" spans="2:9">
      <c r="B834" s="44">
        <v>45612</v>
      </c>
      <c r="C834" s="43" t="s">
        <v>36</v>
      </c>
      <c r="D834" s="43">
        <f>VLOOKUP(C834,成本价!$C$2:$D$83,2,0)*H834</f>
        <v>3.48</v>
      </c>
      <c r="E834" s="43">
        <v>6.89</v>
      </c>
      <c r="F834" s="43">
        <v>3.5</v>
      </c>
      <c r="G834" s="43">
        <f t="shared" si="15"/>
        <v>3.41</v>
      </c>
      <c r="H834" s="43">
        <v>1.5</v>
      </c>
      <c r="I834" s="43"/>
    </row>
    <row r="835" spans="2:8">
      <c r="B835" s="3">
        <v>45612</v>
      </c>
      <c r="C835" t="s">
        <v>12</v>
      </c>
      <c r="D835">
        <f>VLOOKUP(C835,成本价!$C$2:$D$83,2,0)*H835</f>
        <v>1.161</v>
      </c>
      <c r="E835">
        <v>14.07</v>
      </c>
      <c r="F835">
        <v>3.5</v>
      </c>
      <c r="G835">
        <f t="shared" si="15"/>
        <v>12.909</v>
      </c>
      <c r="H835">
        <v>3</v>
      </c>
    </row>
    <row r="836" spans="2:8">
      <c r="B836" s="3">
        <v>45612</v>
      </c>
      <c r="C836" t="s">
        <v>44</v>
      </c>
      <c r="D836">
        <f>VLOOKUP(C836,成本价!$C$2:$D$83,2,0)*H836</f>
        <v>1.191</v>
      </c>
      <c r="E836">
        <v>0</v>
      </c>
      <c r="G836">
        <f t="shared" si="15"/>
        <v>-1.191</v>
      </c>
      <c r="H836">
        <v>3</v>
      </c>
    </row>
    <row r="837" spans="2:8">
      <c r="B837" s="3">
        <v>45612</v>
      </c>
      <c r="C837" t="s">
        <v>72</v>
      </c>
      <c r="D837">
        <f>VLOOKUP(C837,成本价!$C$2:$D$83,2,0)*H837</f>
        <v>6.06</v>
      </c>
      <c r="E837">
        <v>18.4</v>
      </c>
      <c r="F837">
        <v>3.5</v>
      </c>
      <c r="G837">
        <f t="shared" si="15"/>
        <v>12.34</v>
      </c>
      <c r="H837">
        <v>1</v>
      </c>
    </row>
    <row r="838" spans="2:9">
      <c r="B838" s="44">
        <v>45612</v>
      </c>
      <c r="C838" s="43" t="s">
        <v>37</v>
      </c>
      <c r="D838" s="43">
        <f>VLOOKUP(C838,成本价!$C$2:$D$83,2,0)*H838</f>
        <v>3.81</v>
      </c>
      <c r="E838" s="43">
        <v>6.89</v>
      </c>
      <c r="F838" s="43">
        <v>3.5</v>
      </c>
      <c r="G838" s="43">
        <f t="shared" si="15"/>
        <v>3.08</v>
      </c>
      <c r="H838" s="43">
        <v>1.5</v>
      </c>
      <c r="I838" s="43"/>
    </row>
    <row r="839" spans="2:8">
      <c r="B839" s="3">
        <v>45612</v>
      </c>
      <c r="C839" t="s">
        <v>36</v>
      </c>
      <c r="D839">
        <f>VLOOKUP(C839,成本价!$C$2:$D$83,2,0)*H839</f>
        <v>2.32</v>
      </c>
      <c r="E839">
        <v>8.28</v>
      </c>
      <c r="F839">
        <v>3.5</v>
      </c>
      <c r="G839">
        <f t="shared" si="15"/>
        <v>5.96</v>
      </c>
      <c r="H839">
        <v>1</v>
      </c>
    </row>
    <row r="840" spans="2:8">
      <c r="B840" s="3">
        <v>45612</v>
      </c>
      <c r="C840" t="s">
        <v>27</v>
      </c>
      <c r="D840">
        <f>VLOOKUP(C840,成本价!$C$2:$D$83,2,0)*H840</f>
        <v>1.8</v>
      </c>
      <c r="E840">
        <v>6.36</v>
      </c>
      <c r="F840">
        <v>3.5</v>
      </c>
      <c r="G840">
        <f t="shared" si="15"/>
        <v>4.56</v>
      </c>
      <c r="H840">
        <v>1</v>
      </c>
    </row>
    <row r="841" spans="2:8">
      <c r="B841" s="3">
        <v>45612</v>
      </c>
      <c r="C841" t="s">
        <v>80</v>
      </c>
      <c r="D841">
        <f>VLOOKUP(C841,成本价!$C$2:$D$83,2,0)*H841</f>
        <v>8.1</v>
      </c>
      <c r="E841">
        <v>17.6</v>
      </c>
      <c r="F841">
        <v>3.5</v>
      </c>
      <c r="G841">
        <f t="shared" si="15"/>
        <v>9.5</v>
      </c>
      <c r="H841">
        <v>1</v>
      </c>
    </row>
    <row r="842" spans="2:8">
      <c r="B842" s="3">
        <v>45612</v>
      </c>
      <c r="C842" t="s">
        <v>12</v>
      </c>
      <c r="D842">
        <f>VLOOKUP(C842,成本价!$C$2:$D$83,2,0)*H842</f>
        <v>2.322</v>
      </c>
      <c r="E842">
        <v>14.07</v>
      </c>
      <c r="F842">
        <v>3.5</v>
      </c>
      <c r="G842">
        <f t="shared" si="15"/>
        <v>11.748</v>
      </c>
      <c r="H842">
        <v>6</v>
      </c>
    </row>
    <row r="843" spans="2:8">
      <c r="B843" s="3">
        <v>45612</v>
      </c>
      <c r="C843" t="s">
        <v>44</v>
      </c>
      <c r="D843">
        <f>VLOOKUP(C843,成本价!$C$2:$D$83,2,0)*H843</f>
        <v>1.985</v>
      </c>
      <c r="G843">
        <f t="shared" si="15"/>
        <v>-1.985</v>
      </c>
      <c r="H843">
        <v>5</v>
      </c>
    </row>
    <row r="844" spans="2:8">
      <c r="B844" s="3">
        <v>45612</v>
      </c>
      <c r="C844" t="s">
        <v>56</v>
      </c>
      <c r="D844">
        <f>VLOOKUP(C844,成本价!$C$2:$D$83,2,0)*H844</f>
        <v>3.483</v>
      </c>
      <c r="E844">
        <v>13.11</v>
      </c>
      <c r="F844">
        <v>3.5</v>
      </c>
      <c r="G844">
        <f t="shared" si="15"/>
        <v>9.627</v>
      </c>
      <c r="H844">
        <v>3</v>
      </c>
    </row>
    <row r="845" spans="2:9">
      <c r="B845" s="3">
        <v>45612</v>
      </c>
      <c r="I845">
        <f>181.47+4.83-4.14</f>
        <v>182.16</v>
      </c>
    </row>
    <row r="846" spans="2:8">
      <c r="B846" s="29">
        <v>45613</v>
      </c>
      <c r="C846" t="s">
        <v>27</v>
      </c>
      <c r="D846">
        <f>VLOOKUP(C846,成本价!$C$2:$D$83,2,0)*H846</f>
        <v>1.8</v>
      </c>
      <c r="E846">
        <v>6.36</v>
      </c>
      <c r="F846">
        <v>3.5</v>
      </c>
      <c r="G846">
        <f t="shared" si="15"/>
        <v>4.56</v>
      </c>
      <c r="H846">
        <v>1</v>
      </c>
    </row>
    <row r="847" spans="2:8">
      <c r="B847" s="3">
        <v>45613</v>
      </c>
      <c r="C847" t="s">
        <v>54</v>
      </c>
      <c r="D847">
        <f>VLOOKUP(C847,成本价!$C$2:$D$83,2,0)*H847</f>
        <v>14.7</v>
      </c>
      <c r="E847">
        <v>27.6</v>
      </c>
      <c r="F847">
        <v>3.5</v>
      </c>
      <c r="G847">
        <f t="shared" si="15"/>
        <v>12.9</v>
      </c>
      <c r="H847">
        <v>1</v>
      </c>
    </row>
    <row r="848" spans="2:8">
      <c r="B848" s="3">
        <v>45613</v>
      </c>
      <c r="C848" t="s">
        <v>80</v>
      </c>
      <c r="D848">
        <f>VLOOKUP(C848,成本价!$C$2:$D$83,2,0)*H848</f>
        <v>8.1</v>
      </c>
      <c r="E848">
        <v>17.6</v>
      </c>
      <c r="F848">
        <v>3.5</v>
      </c>
      <c r="G848">
        <f t="shared" si="15"/>
        <v>9.5</v>
      </c>
      <c r="H848">
        <v>1</v>
      </c>
    </row>
    <row r="849" spans="2:8">
      <c r="B849" s="3">
        <v>45613</v>
      </c>
      <c r="C849" t="s">
        <v>12</v>
      </c>
      <c r="D849">
        <f>VLOOKUP(C849,成本价!$C$2:$D$83,2,0)*H849</f>
        <v>2.322</v>
      </c>
      <c r="E849">
        <v>9.4</v>
      </c>
      <c r="F849">
        <v>3.5</v>
      </c>
      <c r="G849">
        <f t="shared" si="15"/>
        <v>7.078</v>
      </c>
      <c r="H849">
        <v>6</v>
      </c>
    </row>
    <row r="850" spans="2:8">
      <c r="B850" s="3">
        <v>45613</v>
      </c>
      <c r="C850" t="s">
        <v>55</v>
      </c>
      <c r="D850">
        <f>VLOOKUP(C850,成本价!$C$2:$D$83,2,0)*H850</f>
        <v>1.171</v>
      </c>
      <c r="E850">
        <v>8.39</v>
      </c>
      <c r="F850">
        <v>3.5</v>
      </c>
      <c r="G850">
        <f t="shared" si="15"/>
        <v>7.219</v>
      </c>
      <c r="H850">
        <v>1</v>
      </c>
    </row>
    <row r="851" spans="2:8">
      <c r="B851" s="3">
        <v>45613</v>
      </c>
      <c r="C851" t="s">
        <v>55</v>
      </c>
      <c r="D851">
        <f>VLOOKUP(C851,成本价!$C$2:$D$83,2,0)*H851</f>
        <v>1.171</v>
      </c>
      <c r="E851">
        <v>8.39</v>
      </c>
      <c r="F851">
        <v>3.5</v>
      </c>
      <c r="G851">
        <f t="shared" si="15"/>
        <v>7.219</v>
      </c>
      <c r="H851">
        <v>1</v>
      </c>
    </row>
    <row r="852" spans="2:8">
      <c r="B852" s="3">
        <v>45613</v>
      </c>
      <c r="C852" t="s">
        <v>51</v>
      </c>
      <c r="D852">
        <f>VLOOKUP(C852,成本价!$C$2:$D$83,2,0)*H852</f>
        <v>9</v>
      </c>
      <c r="E852">
        <v>17.6</v>
      </c>
      <c r="F852">
        <v>3.5</v>
      </c>
      <c r="G852">
        <f t="shared" si="15"/>
        <v>8.6</v>
      </c>
      <c r="H852">
        <v>1</v>
      </c>
    </row>
    <row r="853" spans="2:8">
      <c r="B853" s="3">
        <v>45613</v>
      </c>
      <c r="C853" t="s">
        <v>33</v>
      </c>
      <c r="D853">
        <f>VLOOKUP(C853,成本价!$C$2:$D$83,2,0)*H853</f>
        <v>1.7</v>
      </c>
      <c r="E853">
        <v>6.36</v>
      </c>
      <c r="F853">
        <v>3.5</v>
      </c>
      <c r="G853">
        <f t="shared" si="15"/>
        <v>4.66</v>
      </c>
      <c r="H853">
        <v>1</v>
      </c>
    </row>
    <row r="854" spans="2:8">
      <c r="B854" s="3">
        <v>45613</v>
      </c>
      <c r="C854" t="s">
        <v>55</v>
      </c>
      <c r="D854">
        <f>VLOOKUP(C854,成本价!$C$2:$D$83,2,0)*H854</f>
        <v>1.171</v>
      </c>
      <c r="E854">
        <v>8.39</v>
      </c>
      <c r="F854">
        <v>3.5</v>
      </c>
      <c r="G854">
        <f t="shared" si="15"/>
        <v>7.219</v>
      </c>
      <c r="H854">
        <v>1</v>
      </c>
    </row>
    <row r="855" spans="2:8">
      <c r="B855" s="3">
        <v>45613</v>
      </c>
      <c r="C855" t="s">
        <v>55</v>
      </c>
      <c r="D855">
        <f>VLOOKUP(C855,成本价!$C$2:$D$83,2,0)*H855</f>
        <v>3.513</v>
      </c>
      <c r="E855">
        <v>13.11</v>
      </c>
      <c r="F855">
        <v>3.5</v>
      </c>
      <c r="G855">
        <f t="shared" si="15"/>
        <v>9.597</v>
      </c>
      <c r="H855">
        <v>3</v>
      </c>
    </row>
    <row r="856" spans="2:8">
      <c r="B856" s="3">
        <v>45613</v>
      </c>
      <c r="C856" t="s">
        <v>71</v>
      </c>
      <c r="D856">
        <f>VLOOKUP(C856,成本价!$C$2:$D$83,2,0)*H856</f>
        <v>3.573</v>
      </c>
      <c r="E856">
        <v>13.11</v>
      </c>
      <c r="F856">
        <v>3.5</v>
      </c>
      <c r="G856">
        <f t="shared" si="15"/>
        <v>9.537</v>
      </c>
      <c r="H856">
        <v>3</v>
      </c>
    </row>
    <row r="857" spans="2:8">
      <c r="B857" s="3">
        <v>45613</v>
      </c>
      <c r="C857" t="s">
        <v>33</v>
      </c>
      <c r="D857">
        <f>VLOOKUP(C857,成本价!$C$2:$D$83,2,0)*H857</f>
        <v>1.7</v>
      </c>
      <c r="E857">
        <v>6.36</v>
      </c>
      <c r="F857">
        <v>3.5</v>
      </c>
      <c r="G857">
        <f t="shared" si="15"/>
        <v>4.66</v>
      </c>
      <c r="H857">
        <v>1</v>
      </c>
    </row>
    <row r="858" spans="2:8">
      <c r="B858" s="3">
        <v>45613</v>
      </c>
      <c r="C858" t="s">
        <v>27</v>
      </c>
      <c r="D858">
        <f>VLOOKUP(C858,成本价!$C$2:$D$83,2,0)*H858</f>
        <v>1.8</v>
      </c>
      <c r="E858">
        <v>6.36</v>
      </c>
      <c r="F858">
        <v>0</v>
      </c>
      <c r="G858">
        <f t="shared" si="15"/>
        <v>4.56</v>
      </c>
      <c r="H858">
        <v>1</v>
      </c>
    </row>
    <row r="859" spans="2:8">
      <c r="B859" s="3">
        <v>45613</v>
      </c>
      <c r="C859" t="s">
        <v>33</v>
      </c>
      <c r="D859">
        <f>VLOOKUP(C859,成本价!$C$2:$D$83,2,0)*H859</f>
        <v>1.7</v>
      </c>
      <c r="E859">
        <v>6.9</v>
      </c>
      <c r="F859">
        <v>3.5</v>
      </c>
      <c r="G859">
        <f t="shared" si="15"/>
        <v>5.2</v>
      </c>
      <c r="H859">
        <v>1</v>
      </c>
    </row>
    <row r="860" spans="2:8">
      <c r="B860" s="3">
        <v>45613</v>
      </c>
      <c r="C860" t="s">
        <v>37</v>
      </c>
      <c r="D860">
        <f>VLOOKUP(C860,成本价!$C$2:$D$83,2,0)*H860</f>
        <v>2.54</v>
      </c>
      <c r="E860">
        <v>8.28</v>
      </c>
      <c r="F860">
        <v>3.5</v>
      </c>
      <c r="G860">
        <f t="shared" si="15"/>
        <v>5.74</v>
      </c>
      <c r="H860">
        <v>1</v>
      </c>
    </row>
    <row r="861" spans="2:8">
      <c r="B861" s="3">
        <v>45613</v>
      </c>
      <c r="C861" t="s">
        <v>50</v>
      </c>
      <c r="D861">
        <f>VLOOKUP(C861,成本价!$C$2:$D$83,2,0)*H861</f>
        <v>2.749</v>
      </c>
      <c r="E861">
        <v>10.3</v>
      </c>
      <c r="F861">
        <v>3.5</v>
      </c>
      <c r="G861">
        <f t="shared" si="15"/>
        <v>7.551</v>
      </c>
      <c r="H861">
        <v>1</v>
      </c>
    </row>
    <row r="862" spans="2:8">
      <c r="B862" s="3">
        <v>45613</v>
      </c>
      <c r="C862" t="s">
        <v>33</v>
      </c>
      <c r="D862">
        <f>VLOOKUP(C862,成本价!$C$2:$D$83,2,0)*H862</f>
        <v>2.55</v>
      </c>
      <c r="E862">
        <v>6.79</v>
      </c>
      <c r="F862">
        <v>3.5</v>
      </c>
      <c r="G862">
        <f t="shared" si="15"/>
        <v>4.24</v>
      </c>
      <c r="H862">
        <v>1.5</v>
      </c>
    </row>
    <row r="863" spans="2:8">
      <c r="B863" s="3">
        <v>45613</v>
      </c>
      <c r="C863" t="s">
        <v>27</v>
      </c>
      <c r="D863">
        <f>VLOOKUP(C863,成本价!$C$2:$D$83,2,0)*H863</f>
        <v>5.4</v>
      </c>
      <c r="E863">
        <f>6.8+6.9</f>
        <v>13.7</v>
      </c>
      <c r="F863">
        <v>0</v>
      </c>
      <c r="G863">
        <f t="shared" ref="G863:G917" si="16">E863-D863</f>
        <v>8.3</v>
      </c>
      <c r="H863">
        <v>3</v>
      </c>
    </row>
    <row r="864" spans="2:8">
      <c r="B864" s="3">
        <v>45613</v>
      </c>
      <c r="C864" t="s">
        <v>55</v>
      </c>
      <c r="D864">
        <f>VLOOKUP(C864,成本价!$C$2:$D$83,2,0)*H864</f>
        <v>3.513</v>
      </c>
      <c r="E864">
        <v>13.11</v>
      </c>
      <c r="F864">
        <v>3.5</v>
      </c>
      <c r="G864">
        <f t="shared" si="16"/>
        <v>9.597</v>
      </c>
      <c r="H864">
        <v>3</v>
      </c>
    </row>
    <row r="865" spans="2:8">
      <c r="B865" s="3">
        <v>45613</v>
      </c>
      <c r="C865" t="s">
        <v>33</v>
      </c>
      <c r="D865">
        <f>VLOOKUP(C865,成本价!$C$2:$D$83,2,0)*H865</f>
        <v>5.1</v>
      </c>
      <c r="E865">
        <f>6.56+6.57</f>
        <v>13.13</v>
      </c>
      <c r="F865">
        <v>3.5</v>
      </c>
      <c r="G865">
        <f t="shared" si="16"/>
        <v>8.03</v>
      </c>
      <c r="H865">
        <v>3</v>
      </c>
    </row>
    <row r="866" spans="2:8">
      <c r="B866" s="3">
        <v>45613</v>
      </c>
      <c r="C866" t="s">
        <v>27</v>
      </c>
      <c r="D866">
        <f>VLOOKUP(C866,成本价!$C$2:$D$83,2,0)*H866</f>
        <v>2.7</v>
      </c>
      <c r="E866">
        <v>6.57</v>
      </c>
      <c r="F866">
        <v>0</v>
      </c>
      <c r="G866">
        <f t="shared" si="16"/>
        <v>3.87</v>
      </c>
      <c r="H866">
        <v>1.5</v>
      </c>
    </row>
    <row r="867" spans="2:8">
      <c r="B867" s="3">
        <v>45613</v>
      </c>
      <c r="C867" t="s">
        <v>50</v>
      </c>
      <c r="D867">
        <f>VLOOKUP(C867,成本价!$C$2:$D$83,2,0)*H867</f>
        <v>2.749</v>
      </c>
      <c r="E867">
        <v>10.3</v>
      </c>
      <c r="F867">
        <v>3.5</v>
      </c>
      <c r="G867">
        <f t="shared" si="16"/>
        <v>7.551</v>
      </c>
      <c r="H867">
        <v>1</v>
      </c>
    </row>
    <row r="868" spans="2:8">
      <c r="B868" s="3">
        <v>45613</v>
      </c>
      <c r="C868" t="s">
        <v>77</v>
      </c>
      <c r="D868">
        <f>VLOOKUP(C868,成本价!$C$2:$D$83,2,0)*H868</f>
        <v>0.4032</v>
      </c>
      <c r="E868">
        <v>7.84</v>
      </c>
      <c r="F868">
        <v>3.5</v>
      </c>
      <c r="G868">
        <f t="shared" si="16"/>
        <v>7.4368</v>
      </c>
      <c r="H868">
        <v>1</v>
      </c>
    </row>
    <row r="869" spans="2:8">
      <c r="B869" s="3">
        <v>45613</v>
      </c>
      <c r="C869" t="s">
        <v>65</v>
      </c>
      <c r="D869">
        <f>VLOOKUP(C869,成本价!$C$2:$D$83,2,0)*H869</f>
        <v>5.3</v>
      </c>
      <c r="E869">
        <v>17.3</v>
      </c>
      <c r="F869">
        <v>3.5</v>
      </c>
      <c r="G869">
        <f t="shared" si="16"/>
        <v>12</v>
      </c>
      <c r="H869">
        <v>1</v>
      </c>
    </row>
    <row r="870" spans="2:8">
      <c r="B870" s="3">
        <v>45613</v>
      </c>
      <c r="C870" t="s">
        <v>50</v>
      </c>
      <c r="D870">
        <f>VLOOKUP(C870,成本价!$C$2:$D$83,2,0)*H870</f>
        <v>2.749</v>
      </c>
      <c r="E870">
        <v>10.3</v>
      </c>
      <c r="F870">
        <v>3.5</v>
      </c>
      <c r="G870">
        <f t="shared" si="16"/>
        <v>7.551</v>
      </c>
      <c r="H870">
        <v>1</v>
      </c>
    </row>
    <row r="871" spans="2:8">
      <c r="B871" s="3">
        <v>45613</v>
      </c>
      <c r="C871" t="s">
        <v>81</v>
      </c>
      <c r="D871">
        <f>VLOOKUP(C871,成本价!$C$2:$D$83,2,0)*H871</f>
        <v>5.64</v>
      </c>
      <c r="E871">
        <v>17.4</v>
      </c>
      <c r="F871">
        <v>3.5</v>
      </c>
      <c r="G871">
        <f t="shared" si="16"/>
        <v>11.76</v>
      </c>
      <c r="H871">
        <v>1</v>
      </c>
    </row>
    <row r="872" spans="2:8">
      <c r="B872" s="3">
        <v>45613</v>
      </c>
      <c r="C872" t="s">
        <v>55</v>
      </c>
      <c r="D872">
        <f>VLOOKUP(C872,成本价!$C$2:$D$83,2,0)*H872</f>
        <v>3.513</v>
      </c>
      <c r="E872">
        <v>13.11</v>
      </c>
      <c r="F872">
        <v>3.5</v>
      </c>
      <c r="G872">
        <f t="shared" si="16"/>
        <v>9.597</v>
      </c>
      <c r="H872">
        <v>3</v>
      </c>
    </row>
    <row r="873" spans="2:8">
      <c r="B873" s="3">
        <v>45613</v>
      </c>
      <c r="C873" t="s">
        <v>55</v>
      </c>
      <c r="D873">
        <f>VLOOKUP(C873,成本价!$C$2:$D$83,2,0)*H873</f>
        <v>1.171</v>
      </c>
      <c r="E873">
        <v>8.39</v>
      </c>
      <c r="F873">
        <v>3.5</v>
      </c>
      <c r="G873">
        <f t="shared" si="16"/>
        <v>7.219</v>
      </c>
      <c r="H873">
        <v>1</v>
      </c>
    </row>
    <row r="874" spans="2:8">
      <c r="B874" s="3">
        <v>45613</v>
      </c>
      <c r="C874" t="s">
        <v>33</v>
      </c>
      <c r="D874">
        <f>VLOOKUP(C874,成本价!$C$2:$D$83,2,0)*H874</f>
        <v>1.7</v>
      </c>
      <c r="E874">
        <v>4.46</v>
      </c>
      <c r="F874">
        <v>3.5</v>
      </c>
      <c r="G874">
        <f t="shared" si="16"/>
        <v>2.76</v>
      </c>
      <c r="H874">
        <v>1</v>
      </c>
    </row>
    <row r="875" spans="2:8">
      <c r="B875" s="3">
        <v>45613</v>
      </c>
      <c r="C875" t="s">
        <v>27</v>
      </c>
      <c r="D875">
        <f>VLOOKUP(C875,成本价!$C$2:$D$83,2,0)*H875</f>
        <v>1.8</v>
      </c>
      <c r="E875">
        <v>6.36</v>
      </c>
      <c r="F875">
        <v>0</v>
      </c>
      <c r="G875">
        <f t="shared" si="16"/>
        <v>4.56</v>
      </c>
      <c r="H875">
        <v>1</v>
      </c>
    </row>
    <row r="876" spans="2:10">
      <c r="B876" s="3">
        <v>45613</v>
      </c>
      <c r="C876" t="s">
        <v>36</v>
      </c>
      <c r="D876">
        <f>VLOOKUP(C876,成本价!$C$2:$D$83,2,0)*H876</f>
        <v>0.232</v>
      </c>
      <c r="E876">
        <v>7.9</v>
      </c>
      <c r="F876">
        <v>3.5</v>
      </c>
      <c r="G876">
        <f t="shared" si="16"/>
        <v>7.668</v>
      </c>
      <c r="H876">
        <f>1/20*2</f>
        <v>0.1</v>
      </c>
      <c r="J876" s="2" t="s">
        <v>74</v>
      </c>
    </row>
    <row r="877" spans="2:10">
      <c r="B877" s="3">
        <v>45613</v>
      </c>
      <c r="C877" t="s">
        <v>37</v>
      </c>
      <c r="D877">
        <f>VLOOKUP(C877,成本价!$C$2:$D$83,2,0)*H877</f>
        <v>0.127</v>
      </c>
      <c r="F877">
        <v>0</v>
      </c>
      <c r="G877">
        <f t="shared" si="16"/>
        <v>-0.127</v>
      </c>
      <c r="H877">
        <f>1/20</f>
        <v>0.05</v>
      </c>
      <c r="J877" s="2" t="s">
        <v>74</v>
      </c>
    </row>
    <row r="878" spans="2:10">
      <c r="B878" s="3">
        <v>45613</v>
      </c>
      <c r="C878" t="s">
        <v>52</v>
      </c>
      <c r="D878">
        <f>VLOOKUP(C878,成本价!$C$2:$D$83,2,0)*H878</f>
        <v>10.96</v>
      </c>
      <c r="E878">
        <v>29.17</v>
      </c>
      <c r="F878">
        <v>3.5</v>
      </c>
      <c r="G878">
        <f t="shared" si="16"/>
        <v>18.21</v>
      </c>
      <c r="H878">
        <v>1</v>
      </c>
      <c r="J878" s="2" t="s">
        <v>74</v>
      </c>
    </row>
    <row r="879" spans="2:9">
      <c r="B879" s="3">
        <v>45613</v>
      </c>
      <c r="I879">
        <f>105.52+4.14-6.02</f>
        <v>103.64</v>
      </c>
    </row>
    <row r="880" spans="2:8">
      <c r="B880" s="29">
        <v>45614</v>
      </c>
      <c r="C880" t="s">
        <v>12</v>
      </c>
      <c r="D880">
        <f>VLOOKUP(C880,成本价!$C$2:$D$83,2,0)*H880</f>
        <v>2.322</v>
      </c>
      <c r="E880">
        <v>14.07</v>
      </c>
      <c r="F880">
        <v>3.5</v>
      </c>
      <c r="G880">
        <f t="shared" si="16"/>
        <v>11.748</v>
      </c>
      <c r="H880">
        <v>6</v>
      </c>
    </row>
    <row r="881" spans="2:8">
      <c r="B881" s="3">
        <v>45614</v>
      </c>
      <c r="C881" t="s">
        <v>44</v>
      </c>
      <c r="D881">
        <f>VLOOKUP(C881,成本价!$C$2:$D$83,2,0)*H881</f>
        <v>1.985</v>
      </c>
      <c r="G881">
        <f t="shared" si="16"/>
        <v>-1.985</v>
      </c>
      <c r="H881">
        <v>5</v>
      </c>
    </row>
    <row r="882" spans="2:8">
      <c r="B882" s="3">
        <v>45614</v>
      </c>
      <c r="C882" t="s">
        <v>12</v>
      </c>
      <c r="D882">
        <f>VLOOKUP(C882,成本价!$C$2:$D$83,2,0)*H882</f>
        <v>4.644</v>
      </c>
      <c r="E882">
        <v>33.74</v>
      </c>
      <c r="F882">
        <v>3.5</v>
      </c>
      <c r="G882">
        <f t="shared" si="16"/>
        <v>29.096</v>
      </c>
      <c r="H882">
        <v>12</v>
      </c>
    </row>
    <row r="883" spans="2:8">
      <c r="B883" s="3">
        <v>45614</v>
      </c>
      <c r="C883" t="s">
        <v>44</v>
      </c>
      <c r="D883">
        <f>VLOOKUP(C883,成本价!$C$2:$D$83,2,0)*H883</f>
        <v>7.94</v>
      </c>
      <c r="G883">
        <f t="shared" si="16"/>
        <v>-7.94</v>
      </c>
      <c r="H883">
        <v>20</v>
      </c>
    </row>
    <row r="884" spans="2:8">
      <c r="B884" s="3">
        <v>45614</v>
      </c>
      <c r="C884" t="s">
        <v>12</v>
      </c>
      <c r="D884">
        <f>VLOOKUP(C884,成本价!$C$2:$D$83,2,0)*H884</f>
        <v>1.935</v>
      </c>
      <c r="E884">
        <v>9.4</v>
      </c>
      <c r="F884">
        <v>3.5</v>
      </c>
      <c r="G884">
        <f t="shared" si="16"/>
        <v>7.465</v>
      </c>
      <c r="H884">
        <v>5</v>
      </c>
    </row>
    <row r="885" spans="2:8">
      <c r="B885" s="3">
        <v>45614</v>
      </c>
      <c r="C885" t="s">
        <v>44</v>
      </c>
      <c r="D885">
        <f>VLOOKUP(C885,成本价!$C$2:$D$83,2,0)*H885</f>
        <v>0.397</v>
      </c>
      <c r="G885">
        <f t="shared" si="16"/>
        <v>-0.397</v>
      </c>
      <c r="H885">
        <v>1</v>
      </c>
    </row>
    <row r="886" spans="2:8">
      <c r="B886" s="3">
        <v>45614</v>
      </c>
      <c r="C886" t="s">
        <v>12</v>
      </c>
      <c r="D886">
        <f>VLOOKUP(C886,成本价!$C$2:$D$83,2,0)*H886</f>
        <v>1.548</v>
      </c>
      <c r="E886">
        <v>8.4</v>
      </c>
      <c r="F886">
        <v>3.5</v>
      </c>
      <c r="G886">
        <f t="shared" si="16"/>
        <v>6.852</v>
      </c>
      <c r="H886">
        <v>4</v>
      </c>
    </row>
    <row r="887" spans="2:8">
      <c r="B887" s="3">
        <v>45614</v>
      </c>
      <c r="C887" t="s">
        <v>50</v>
      </c>
      <c r="D887">
        <f>VLOOKUP(C887,成本价!$C$2:$D$83,2,0)*H887</f>
        <v>5.498</v>
      </c>
      <c r="E887">
        <v>18.6</v>
      </c>
      <c r="F887">
        <v>3.5</v>
      </c>
      <c r="G887">
        <f t="shared" si="16"/>
        <v>13.102</v>
      </c>
      <c r="H887">
        <v>2</v>
      </c>
    </row>
    <row r="888" spans="2:8">
      <c r="B888" s="3">
        <v>45614</v>
      </c>
      <c r="C888" t="s">
        <v>36</v>
      </c>
      <c r="D888">
        <f>VLOOKUP(C888,成本价!$C$2:$D$83,2,0)*H888</f>
        <v>10.44</v>
      </c>
      <c r="E888">
        <f>7.4*3</f>
        <v>22.2</v>
      </c>
      <c r="F888">
        <v>3.5</v>
      </c>
      <c r="G888">
        <f t="shared" si="16"/>
        <v>11.76</v>
      </c>
      <c r="H888">
        <v>4.5</v>
      </c>
    </row>
    <row r="889" spans="2:8">
      <c r="B889" s="3">
        <v>45614</v>
      </c>
      <c r="C889" t="s">
        <v>37</v>
      </c>
      <c r="D889">
        <f>VLOOKUP(C889,成本价!$C$2:$D$83,2,0)*H889</f>
        <v>3.81</v>
      </c>
      <c r="E889">
        <v>7.4</v>
      </c>
      <c r="F889">
        <v>0</v>
      </c>
      <c r="G889">
        <f t="shared" si="16"/>
        <v>3.59</v>
      </c>
      <c r="H889">
        <v>1.5</v>
      </c>
    </row>
    <row r="890" spans="2:8">
      <c r="B890" s="3">
        <v>45614</v>
      </c>
      <c r="C890" t="s">
        <v>40</v>
      </c>
      <c r="D890">
        <f>VLOOKUP(C890,成本价!$C$2:$D$83,2,0)*H890</f>
        <v>8.46</v>
      </c>
      <c r="E890">
        <f>7.4*3</f>
        <v>22.2</v>
      </c>
      <c r="F890">
        <v>3.5</v>
      </c>
      <c r="G890">
        <f t="shared" si="16"/>
        <v>13.74</v>
      </c>
      <c r="H890">
        <v>4.5</v>
      </c>
    </row>
    <row r="891" spans="2:8">
      <c r="B891" s="3">
        <v>45614</v>
      </c>
      <c r="C891" t="s">
        <v>43</v>
      </c>
      <c r="D891">
        <f>VLOOKUP(C891,成本价!$C$2:$D$83,2,0)*H891</f>
        <v>3.03</v>
      </c>
      <c r="E891">
        <v>7.4</v>
      </c>
      <c r="F891">
        <v>0</v>
      </c>
      <c r="G891">
        <f t="shared" si="16"/>
        <v>4.37</v>
      </c>
      <c r="H891">
        <v>1.5</v>
      </c>
    </row>
    <row r="892" spans="2:8">
      <c r="B892" s="3">
        <v>45614</v>
      </c>
      <c r="C892" t="s">
        <v>55</v>
      </c>
      <c r="D892">
        <f>VLOOKUP(C892,成本价!$C$2:$D$83,2,0)*H892</f>
        <v>3.513</v>
      </c>
      <c r="E892">
        <v>13.11</v>
      </c>
      <c r="F892">
        <v>3.5</v>
      </c>
      <c r="G892">
        <f t="shared" si="16"/>
        <v>9.597</v>
      </c>
      <c r="H892">
        <v>3</v>
      </c>
    </row>
    <row r="893" spans="2:8">
      <c r="B893" s="3">
        <v>45614</v>
      </c>
      <c r="C893" t="s">
        <v>58</v>
      </c>
      <c r="D893">
        <f>VLOOKUP(C893,成本价!$C$2:$D$83,2,0)*H893</f>
        <v>8.4</v>
      </c>
      <c r="E893">
        <v>17.6</v>
      </c>
      <c r="F893">
        <v>3.5</v>
      </c>
      <c r="G893">
        <f t="shared" si="16"/>
        <v>9.2</v>
      </c>
      <c r="H893">
        <v>1</v>
      </c>
    </row>
    <row r="894" spans="2:8">
      <c r="B894" s="3">
        <v>45614</v>
      </c>
      <c r="C894" t="s">
        <v>55</v>
      </c>
      <c r="D894">
        <f>VLOOKUP(C894,成本价!$C$2:$D$83,2,0)*H894</f>
        <v>3.513</v>
      </c>
      <c r="E894">
        <v>13.11</v>
      </c>
      <c r="F894">
        <v>3.5</v>
      </c>
      <c r="G894">
        <f t="shared" si="16"/>
        <v>9.597</v>
      </c>
      <c r="H894">
        <v>3</v>
      </c>
    </row>
    <row r="895" spans="2:8">
      <c r="B895" s="3">
        <v>45614</v>
      </c>
      <c r="C895" t="s">
        <v>33</v>
      </c>
      <c r="D895">
        <f>VLOOKUP(C895,成本价!$C$2:$D$83,2,0)*H895</f>
        <v>1.7</v>
      </c>
      <c r="E895">
        <v>6.86</v>
      </c>
      <c r="F895">
        <v>3.5</v>
      </c>
      <c r="G895">
        <f t="shared" si="16"/>
        <v>5.16</v>
      </c>
      <c r="H895">
        <v>1</v>
      </c>
    </row>
    <row r="896" spans="2:8">
      <c r="B896" s="3">
        <v>45614</v>
      </c>
      <c r="C896" t="s">
        <v>33</v>
      </c>
      <c r="D896">
        <f>VLOOKUP(C896,成本价!$C$2:$D$83,2,0)*H896</f>
        <v>2.55</v>
      </c>
      <c r="E896">
        <v>6.9</v>
      </c>
      <c r="F896">
        <v>3.5</v>
      </c>
      <c r="G896">
        <f t="shared" si="16"/>
        <v>4.35</v>
      </c>
      <c r="H896">
        <v>1.5</v>
      </c>
    </row>
    <row r="897" spans="2:8">
      <c r="B897" s="3">
        <v>45614</v>
      </c>
      <c r="C897" t="s">
        <v>12</v>
      </c>
      <c r="D897">
        <f>VLOOKUP(C897,成本价!$C$2:$D$83,2,0)*H897</f>
        <v>1.548</v>
      </c>
      <c r="E897">
        <v>9.4</v>
      </c>
      <c r="F897">
        <v>3.5</v>
      </c>
      <c r="G897">
        <f t="shared" si="16"/>
        <v>7.852</v>
      </c>
      <c r="H897">
        <v>4</v>
      </c>
    </row>
    <row r="898" spans="2:8">
      <c r="B898" s="3">
        <v>45614</v>
      </c>
      <c r="C898" t="s">
        <v>44</v>
      </c>
      <c r="D898">
        <f>VLOOKUP(C898,成本价!$C$2:$D$83,2,0)*H898</f>
        <v>0.794</v>
      </c>
      <c r="F898">
        <v>0</v>
      </c>
      <c r="G898">
        <f t="shared" si="16"/>
        <v>-0.794</v>
      </c>
      <c r="H898">
        <v>2</v>
      </c>
    </row>
    <row r="899" spans="2:8">
      <c r="B899" s="3">
        <v>45614</v>
      </c>
      <c r="C899" t="s">
        <v>27</v>
      </c>
      <c r="D899">
        <f>VLOOKUP(C899,成本价!$C$2:$D$83,2,0)*H899</f>
        <v>2.7</v>
      </c>
      <c r="E899">
        <v>6.9</v>
      </c>
      <c r="F899">
        <v>3.5</v>
      </c>
      <c r="G899">
        <f t="shared" si="16"/>
        <v>4.2</v>
      </c>
      <c r="H899">
        <v>1.5</v>
      </c>
    </row>
    <row r="900" spans="2:8">
      <c r="B900" s="3">
        <v>45614</v>
      </c>
      <c r="C900" t="s">
        <v>71</v>
      </c>
      <c r="D900">
        <f>VLOOKUP(C900,成本价!$C$2:$D$83,2,0)*H900</f>
        <v>1.191</v>
      </c>
      <c r="E900">
        <v>8.39</v>
      </c>
      <c r="F900">
        <v>3.5</v>
      </c>
      <c r="G900">
        <f t="shared" si="16"/>
        <v>7.199</v>
      </c>
      <c r="H900">
        <v>1</v>
      </c>
    </row>
    <row r="901" spans="2:8">
      <c r="B901" s="3">
        <v>45614</v>
      </c>
      <c r="C901" t="s">
        <v>33</v>
      </c>
      <c r="D901">
        <f>VLOOKUP(C901,成本价!$C$2:$D$83,2,0)*H901</f>
        <v>1.7</v>
      </c>
      <c r="E901">
        <v>8.89</v>
      </c>
      <c r="F901">
        <v>3.5</v>
      </c>
      <c r="G901">
        <f t="shared" si="16"/>
        <v>7.19</v>
      </c>
      <c r="H901">
        <v>1</v>
      </c>
    </row>
    <row r="902" spans="2:8">
      <c r="B902" s="3">
        <v>45614</v>
      </c>
      <c r="C902" t="s">
        <v>27</v>
      </c>
      <c r="D902">
        <f>VLOOKUP(C902,成本价!$C$2:$D$83,2,0)*H902</f>
        <v>2.7</v>
      </c>
      <c r="E902">
        <v>6.9</v>
      </c>
      <c r="F902">
        <v>3.5</v>
      </c>
      <c r="G902">
        <f t="shared" si="16"/>
        <v>4.2</v>
      </c>
      <c r="H902">
        <v>1.5</v>
      </c>
    </row>
    <row r="903" spans="2:8">
      <c r="B903" s="3">
        <v>45614</v>
      </c>
      <c r="C903" t="s">
        <v>50</v>
      </c>
      <c r="D903">
        <f>VLOOKUP(C903,成本价!$C$2:$D$83,2,0)*H903</f>
        <v>2.749</v>
      </c>
      <c r="E903">
        <v>10.3</v>
      </c>
      <c r="F903">
        <v>3.5</v>
      </c>
      <c r="G903">
        <f t="shared" si="16"/>
        <v>7.551</v>
      </c>
      <c r="H903">
        <v>1</v>
      </c>
    </row>
    <row r="904" spans="2:8">
      <c r="B904" s="3">
        <v>45614</v>
      </c>
      <c r="C904" t="s">
        <v>55</v>
      </c>
      <c r="D904">
        <f>VLOOKUP(C904,成本价!$C$2:$D$83,2,0)*H904</f>
        <v>3.513</v>
      </c>
      <c r="E904">
        <v>13.11</v>
      </c>
      <c r="F904">
        <v>3.5</v>
      </c>
      <c r="G904">
        <f t="shared" si="16"/>
        <v>9.597</v>
      </c>
      <c r="H904">
        <v>3</v>
      </c>
    </row>
    <row r="905" spans="2:8">
      <c r="B905" s="3">
        <v>45614</v>
      </c>
      <c r="C905" t="s">
        <v>51</v>
      </c>
      <c r="D905">
        <f>VLOOKUP(C905,成本价!$C$2:$D$83,2,0)*H905</f>
        <v>9</v>
      </c>
      <c r="E905">
        <v>17.6</v>
      </c>
      <c r="F905">
        <v>3.5</v>
      </c>
      <c r="G905">
        <f t="shared" si="16"/>
        <v>8.6</v>
      </c>
      <c r="H905">
        <v>1</v>
      </c>
    </row>
    <row r="906" spans="2:8">
      <c r="B906" s="3">
        <v>45614</v>
      </c>
      <c r="C906" t="s">
        <v>33</v>
      </c>
      <c r="D906">
        <f>VLOOKUP(C906,成本价!$C$2:$D$83,2,0)*H906</f>
        <v>1.7</v>
      </c>
      <c r="E906">
        <v>4.39</v>
      </c>
      <c r="F906">
        <v>3.5</v>
      </c>
      <c r="G906">
        <f t="shared" si="16"/>
        <v>2.69</v>
      </c>
      <c r="H906">
        <v>1</v>
      </c>
    </row>
    <row r="907" spans="2:8">
      <c r="B907" s="3">
        <v>45614</v>
      </c>
      <c r="C907" t="s">
        <v>27</v>
      </c>
      <c r="D907">
        <f>VLOOKUP(C907,成本价!$C$2:$D$83,2,0)*H907</f>
        <v>1.8</v>
      </c>
      <c r="E907">
        <v>5.39</v>
      </c>
      <c r="F907">
        <v>0</v>
      </c>
      <c r="G907">
        <f t="shared" si="16"/>
        <v>3.59</v>
      </c>
      <c r="H907">
        <v>1</v>
      </c>
    </row>
    <row r="908" spans="2:8">
      <c r="B908" s="3">
        <v>45614</v>
      </c>
      <c r="C908" t="s">
        <v>71</v>
      </c>
      <c r="D908">
        <f>VLOOKUP(C908,成本价!$C$2:$D$83,2,0)*H908</f>
        <v>3.573</v>
      </c>
      <c r="E908">
        <v>13.11</v>
      </c>
      <c r="F908">
        <v>3.5</v>
      </c>
      <c r="G908">
        <f t="shared" si="16"/>
        <v>9.537</v>
      </c>
      <c r="H908">
        <v>3</v>
      </c>
    </row>
    <row r="909" spans="2:8">
      <c r="B909" s="3">
        <v>45614</v>
      </c>
      <c r="C909" t="s">
        <v>54</v>
      </c>
      <c r="D909">
        <f>VLOOKUP(C909,成本价!$C$2:$D$83,2,0)*H909</f>
        <v>14.7</v>
      </c>
      <c r="E909">
        <v>27.6</v>
      </c>
      <c r="F909">
        <v>3.5</v>
      </c>
      <c r="G909">
        <f t="shared" si="16"/>
        <v>12.9</v>
      </c>
      <c r="H909">
        <v>1</v>
      </c>
    </row>
    <row r="910" spans="2:8">
      <c r="B910" s="3">
        <v>45614</v>
      </c>
      <c r="C910" t="s">
        <v>40</v>
      </c>
      <c r="D910">
        <f>VLOOKUP(C910,成本价!$C$2:$D$83,2,0)*H910</f>
        <v>2.82</v>
      </c>
      <c r="E910">
        <v>7.9</v>
      </c>
      <c r="F910">
        <v>3.5</v>
      </c>
      <c r="G910">
        <f t="shared" si="16"/>
        <v>5.08</v>
      </c>
      <c r="H910">
        <v>1.5</v>
      </c>
    </row>
    <row r="911" spans="2:8">
      <c r="B911" s="3">
        <v>45614</v>
      </c>
      <c r="C911" t="s">
        <v>12</v>
      </c>
      <c r="D911">
        <f>VLOOKUP(C911,成本价!$C$2:$D$83,2,0)*H911</f>
        <v>2.322</v>
      </c>
      <c r="E911">
        <v>9.4</v>
      </c>
      <c r="F911">
        <v>3.5</v>
      </c>
      <c r="G911">
        <f t="shared" si="16"/>
        <v>7.078</v>
      </c>
      <c r="H911">
        <v>6</v>
      </c>
    </row>
    <row r="912" spans="2:8">
      <c r="B912" s="3">
        <v>45614</v>
      </c>
      <c r="C912" t="s">
        <v>76</v>
      </c>
      <c r="D912">
        <f>VLOOKUP(C912,成本价!$C$2:$D$83,2,0)*H912</f>
        <v>1.7856</v>
      </c>
      <c r="E912">
        <v>15.49</v>
      </c>
      <c r="F912">
        <v>3.5</v>
      </c>
      <c r="G912">
        <f t="shared" si="16"/>
        <v>13.7044</v>
      </c>
      <c r="H912">
        <v>1</v>
      </c>
    </row>
    <row r="913" spans="2:10">
      <c r="B913" s="3">
        <v>45614</v>
      </c>
      <c r="C913" t="s">
        <v>69</v>
      </c>
      <c r="D913">
        <f>VLOOKUP(C913,成本价!$C$2:$D$83,2,0)*H913</f>
        <v>17.12</v>
      </c>
      <c r="E913">
        <v>40.19</v>
      </c>
      <c r="F913">
        <v>3.5</v>
      </c>
      <c r="G913">
        <f t="shared" si="16"/>
        <v>23.07</v>
      </c>
      <c r="H913">
        <v>1</v>
      </c>
      <c r="J913" s="2" t="s">
        <v>74</v>
      </c>
    </row>
    <row r="914" spans="2:10">
      <c r="B914" s="3">
        <v>45614</v>
      </c>
      <c r="C914" t="s">
        <v>23</v>
      </c>
      <c r="D914">
        <f>VLOOKUP(C914,成本价!$C$2:$D$83,2,0)*H914</f>
        <v>2.08</v>
      </c>
      <c r="E914">
        <v>7.89</v>
      </c>
      <c r="F914">
        <v>3.5</v>
      </c>
      <c r="G914">
        <f t="shared" si="16"/>
        <v>5.81</v>
      </c>
      <c r="H914">
        <v>1</v>
      </c>
      <c r="J914" s="2" t="s">
        <v>74</v>
      </c>
    </row>
    <row r="915" spans="2:10">
      <c r="B915" s="3">
        <v>45614</v>
      </c>
      <c r="C915" t="s">
        <v>33</v>
      </c>
      <c r="D915">
        <f>VLOOKUP(C915,成本价!$C$2:$D$83,2,0)*H915</f>
        <v>1.7</v>
      </c>
      <c r="E915">
        <v>7.51</v>
      </c>
      <c r="F915">
        <v>3.5</v>
      </c>
      <c r="G915">
        <f t="shared" si="16"/>
        <v>5.81</v>
      </c>
      <c r="H915">
        <v>1</v>
      </c>
      <c r="J915" s="2" t="s">
        <v>74</v>
      </c>
    </row>
    <row r="916" spans="2:9">
      <c r="B916" s="3">
        <v>45614</v>
      </c>
      <c r="I916">
        <f>139.99+6.02-10.27</f>
        <v>135.74</v>
      </c>
    </row>
    <row r="917" spans="2:8">
      <c r="B917" s="29">
        <v>45615</v>
      </c>
      <c r="C917" t="s">
        <v>55</v>
      </c>
      <c r="D917">
        <f>VLOOKUP(C917,成本价!$C$2:$D$83,2,0)*H917</f>
        <v>1.171</v>
      </c>
      <c r="E917">
        <v>8.39</v>
      </c>
      <c r="F917">
        <v>3.5</v>
      </c>
      <c r="G917">
        <f t="shared" si="16"/>
        <v>7.219</v>
      </c>
      <c r="H917">
        <v>1</v>
      </c>
    </row>
    <row r="918" spans="2:8">
      <c r="B918" s="3">
        <v>45615</v>
      </c>
      <c r="C918" t="s">
        <v>71</v>
      </c>
      <c r="D918">
        <f>VLOOKUP(C918,成本价!$C$2:$D$83,2,0)*H918</f>
        <v>3.573</v>
      </c>
      <c r="E918">
        <v>13.11</v>
      </c>
      <c r="F918">
        <v>3.5</v>
      </c>
      <c r="G918">
        <f t="shared" ref="G918:G950" si="17">E918-D918</f>
        <v>9.537</v>
      </c>
      <c r="H918">
        <v>3</v>
      </c>
    </row>
    <row r="919" spans="2:8">
      <c r="B919" s="3">
        <v>45615</v>
      </c>
      <c r="C919" t="s">
        <v>44</v>
      </c>
      <c r="D919">
        <f>VLOOKUP(C919,成本价!$C$2:$D$83,2,0)*H919</f>
        <v>4.367</v>
      </c>
      <c r="E919">
        <v>14.07</v>
      </c>
      <c r="F919">
        <v>3.5</v>
      </c>
      <c r="G919">
        <f t="shared" si="17"/>
        <v>9.703</v>
      </c>
      <c r="H919">
        <v>11</v>
      </c>
    </row>
    <row r="920" spans="2:8">
      <c r="B920" s="3">
        <v>45615</v>
      </c>
      <c r="C920" t="s">
        <v>33</v>
      </c>
      <c r="D920">
        <f>VLOOKUP(C920,成本价!$C$2:$D$83,2,0)*H920</f>
        <v>3.4</v>
      </c>
      <c r="E920">
        <f>6.36+4.46</f>
        <v>10.82</v>
      </c>
      <c r="F920">
        <v>3.5</v>
      </c>
      <c r="G920">
        <f t="shared" si="17"/>
        <v>7.42</v>
      </c>
      <c r="H920">
        <v>2</v>
      </c>
    </row>
    <row r="921" spans="2:8">
      <c r="B921" s="3">
        <v>45615</v>
      </c>
      <c r="C921" t="s">
        <v>27</v>
      </c>
      <c r="D921">
        <f>VLOOKUP(C921,成本价!$C$2:$D$83,2,0)*H921</f>
        <v>1.8</v>
      </c>
      <c r="E921">
        <v>6.36</v>
      </c>
      <c r="F921">
        <v>3.5</v>
      </c>
      <c r="G921">
        <f t="shared" si="17"/>
        <v>4.56</v>
      </c>
      <c r="H921">
        <v>1</v>
      </c>
    </row>
    <row r="922" spans="2:8">
      <c r="B922" s="3">
        <v>45615</v>
      </c>
      <c r="C922" t="s">
        <v>60</v>
      </c>
      <c r="D922">
        <f>VLOOKUP(C922,成本价!$C$2:$D$83,2,0)*H922</f>
        <v>5.2</v>
      </c>
      <c r="E922">
        <v>17.3</v>
      </c>
      <c r="F922">
        <v>3.5</v>
      </c>
      <c r="G922">
        <f t="shared" si="17"/>
        <v>12.1</v>
      </c>
      <c r="H922">
        <v>1</v>
      </c>
    </row>
    <row r="923" spans="2:8">
      <c r="B923" s="3">
        <v>45615</v>
      </c>
      <c r="C923" t="s">
        <v>67</v>
      </c>
      <c r="D923">
        <f>VLOOKUP(C923,成本价!$C$2:$D$83,2,0)*H923</f>
        <v>6.52</v>
      </c>
      <c r="E923">
        <v>18.4</v>
      </c>
      <c r="F923">
        <v>3.5</v>
      </c>
      <c r="G923">
        <f t="shared" si="17"/>
        <v>11.88</v>
      </c>
      <c r="H923">
        <v>1</v>
      </c>
    </row>
    <row r="924" spans="2:8">
      <c r="B924" s="3">
        <v>45615</v>
      </c>
      <c r="C924" t="s">
        <v>55</v>
      </c>
      <c r="D924">
        <f>VLOOKUP(C924,成本价!$C$2:$D$83,2,0)*H924</f>
        <v>3.513</v>
      </c>
      <c r="E924">
        <v>13.11</v>
      </c>
      <c r="F924">
        <v>3.5</v>
      </c>
      <c r="G924">
        <f t="shared" si="17"/>
        <v>9.597</v>
      </c>
      <c r="H924">
        <v>3</v>
      </c>
    </row>
    <row r="925" spans="2:8">
      <c r="B925" s="3">
        <v>45615</v>
      </c>
      <c r="C925" t="s">
        <v>49</v>
      </c>
      <c r="D925">
        <f>VLOOKUP(C925,成本价!$C$2:$D$83,2,0)*H925</f>
        <v>1.975</v>
      </c>
      <c r="E925">
        <v>10.04</v>
      </c>
      <c r="F925">
        <v>3.5</v>
      </c>
      <c r="G925">
        <f t="shared" si="17"/>
        <v>8.065</v>
      </c>
      <c r="H925">
        <v>1</v>
      </c>
    </row>
    <row r="926" spans="2:8">
      <c r="B926" s="3">
        <v>45615</v>
      </c>
      <c r="C926" t="s">
        <v>51</v>
      </c>
      <c r="D926">
        <f>VLOOKUP(C926,成本价!$C$2:$D$83,2,0)*H926</f>
        <v>9</v>
      </c>
      <c r="E926">
        <v>16.6</v>
      </c>
      <c r="F926">
        <v>3.5</v>
      </c>
      <c r="G926">
        <f t="shared" si="17"/>
        <v>7.6</v>
      </c>
      <c r="H926">
        <v>1</v>
      </c>
    </row>
    <row r="927" spans="2:8">
      <c r="B927" s="3">
        <v>45615</v>
      </c>
      <c r="C927" t="s">
        <v>50</v>
      </c>
      <c r="D927">
        <f>VLOOKUP(C927,成本价!$C$2:$D$83,2,0)*H927</f>
        <v>2.749</v>
      </c>
      <c r="E927">
        <v>10.3</v>
      </c>
      <c r="F927">
        <v>3.5</v>
      </c>
      <c r="G927">
        <f t="shared" si="17"/>
        <v>7.551</v>
      </c>
      <c r="H927">
        <v>1</v>
      </c>
    </row>
    <row r="928" spans="2:8">
      <c r="B928" s="3">
        <v>45615</v>
      </c>
      <c r="C928" t="s">
        <v>78</v>
      </c>
      <c r="D928">
        <f>VLOOKUP(C928,成本价!$C$2:$D$83,2,0)*H928</f>
        <v>0.1728</v>
      </c>
      <c r="E928">
        <v>4.93</v>
      </c>
      <c r="F928">
        <v>3.5</v>
      </c>
      <c r="G928">
        <f t="shared" si="17"/>
        <v>4.7572</v>
      </c>
      <c r="H928">
        <v>1</v>
      </c>
    </row>
    <row r="929" spans="2:8">
      <c r="B929" s="3">
        <v>45615</v>
      </c>
      <c r="C929" t="s">
        <v>33</v>
      </c>
      <c r="D929">
        <f>VLOOKUP(C929,成本价!$C$2:$D$83,2,0)*H929</f>
        <v>1.7</v>
      </c>
      <c r="E929">
        <v>6.36</v>
      </c>
      <c r="F929">
        <v>3.5</v>
      </c>
      <c r="G929">
        <f t="shared" si="17"/>
        <v>4.66</v>
      </c>
      <c r="H929">
        <v>1</v>
      </c>
    </row>
    <row r="930" spans="2:8">
      <c r="B930" s="3">
        <v>45615</v>
      </c>
      <c r="C930" t="s">
        <v>57</v>
      </c>
      <c r="D930">
        <f>VLOOKUP(C930,成本价!$C$2:$D$83,2,0)*H930</f>
        <v>8.9</v>
      </c>
      <c r="E930">
        <v>28.7</v>
      </c>
      <c r="F930">
        <v>3.5</v>
      </c>
      <c r="G930">
        <f t="shared" si="17"/>
        <v>19.8</v>
      </c>
      <c r="H930">
        <v>1</v>
      </c>
    </row>
    <row r="931" spans="2:8">
      <c r="B931" s="3">
        <v>45615</v>
      </c>
      <c r="C931" t="s">
        <v>33</v>
      </c>
      <c r="D931">
        <f>VLOOKUP(C931,成本价!$C$2:$D$83,2,0)*H931</f>
        <v>2.55</v>
      </c>
      <c r="E931">
        <v>6.9</v>
      </c>
      <c r="F931">
        <v>3.5</v>
      </c>
      <c r="G931">
        <f t="shared" si="17"/>
        <v>4.35</v>
      </c>
      <c r="H931">
        <v>1.5</v>
      </c>
    </row>
    <row r="932" spans="2:8">
      <c r="B932" s="3">
        <v>45615</v>
      </c>
      <c r="C932" t="s">
        <v>55</v>
      </c>
      <c r="D932">
        <f>VLOOKUP(C932,成本价!$C$2:$D$83,2,0)*H932</f>
        <v>3.513</v>
      </c>
      <c r="E932">
        <v>13.11</v>
      </c>
      <c r="F932">
        <v>3.5</v>
      </c>
      <c r="G932">
        <f t="shared" si="17"/>
        <v>9.597</v>
      </c>
      <c r="H932">
        <v>3</v>
      </c>
    </row>
    <row r="933" spans="2:8">
      <c r="B933" s="3">
        <v>45615</v>
      </c>
      <c r="C933" t="s">
        <v>82</v>
      </c>
      <c r="D933">
        <f>VLOOKUP(C933,成本价!$C$2:$D$83,2,0)*H933</f>
        <v>13.2</v>
      </c>
      <c r="E933">
        <v>27.6</v>
      </c>
      <c r="F933">
        <v>3.5</v>
      </c>
      <c r="G933">
        <f t="shared" si="17"/>
        <v>14.4</v>
      </c>
      <c r="H933">
        <v>1</v>
      </c>
    </row>
    <row r="934" spans="2:8">
      <c r="B934" s="3">
        <v>45615</v>
      </c>
      <c r="C934" t="s">
        <v>33</v>
      </c>
      <c r="D934">
        <f>VLOOKUP(C934,成本价!$C$2:$D$83,2,0)*H934</f>
        <v>1.7</v>
      </c>
      <c r="E934">
        <v>6.36</v>
      </c>
      <c r="F934">
        <v>3.5</v>
      </c>
      <c r="G934">
        <f t="shared" si="17"/>
        <v>4.66</v>
      </c>
      <c r="H934">
        <v>1</v>
      </c>
    </row>
    <row r="935" spans="2:8">
      <c r="B935" s="3">
        <v>45615</v>
      </c>
      <c r="C935" t="s">
        <v>27</v>
      </c>
      <c r="D935">
        <f>VLOOKUP(C935,成本价!$C$2:$D$83,2,0)*H935</f>
        <v>2.7</v>
      </c>
      <c r="E935">
        <v>6.9</v>
      </c>
      <c r="F935">
        <v>3.5</v>
      </c>
      <c r="G935">
        <f t="shared" si="17"/>
        <v>4.2</v>
      </c>
      <c r="H935">
        <v>1.5</v>
      </c>
    </row>
    <row r="936" spans="2:8">
      <c r="B936" s="3">
        <v>45615</v>
      </c>
      <c r="C936" t="s">
        <v>65</v>
      </c>
      <c r="D936">
        <f>VLOOKUP(C936,成本价!$C$2:$D$83,2,0)*H936</f>
        <v>5.3</v>
      </c>
      <c r="E936">
        <v>17.3</v>
      </c>
      <c r="F936">
        <v>3.5</v>
      </c>
      <c r="G936">
        <f t="shared" si="17"/>
        <v>12</v>
      </c>
      <c r="H936">
        <v>1</v>
      </c>
    </row>
    <row r="937" spans="2:8">
      <c r="B937" s="3">
        <v>45615</v>
      </c>
      <c r="C937" t="s">
        <v>77</v>
      </c>
      <c r="D937">
        <f>VLOOKUP(C937,成本价!$C$2:$D$83,2,0)*H937</f>
        <v>0.4032</v>
      </c>
      <c r="E937">
        <v>7.84</v>
      </c>
      <c r="F937">
        <v>3.5</v>
      </c>
      <c r="G937">
        <f t="shared" si="17"/>
        <v>7.4368</v>
      </c>
      <c r="H937">
        <v>1</v>
      </c>
    </row>
    <row r="938" spans="2:8">
      <c r="B938" s="3">
        <v>45615</v>
      </c>
      <c r="C938" t="s">
        <v>49</v>
      </c>
      <c r="D938">
        <f>VLOOKUP(C938,成本价!$C$2:$D$83,2,0)*H938</f>
        <v>1.975</v>
      </c>
      <c r="E938">
        <v>10.04</v>
      </c>
      <c r="F938">
        <v>3.5</v>
      </c>
      <c r="G938">
        <f t="shared" si="17"/>
        <v>8.065</v>
      </c>
      <c r="H938">
        <v>1</v>
      </c>
    </row>
    <row r="939" spans="2:8">
      <c r="B939" s="3">
        <v>45615</v>
      </c>
      <c r="C939" t="s">
        <v>33</v>
      </c>
      <c r="D939">
        <f>VLOOKUP(C939,成本价!$C$2:$D$83,2,0)*H939</f>
        <v>3.4</v>
      </c>
      <c r="E939">
        <v>27.7</v>
      </c>
      <c r="F939">
        <v>3.5</v>
      </c>
      <c r="G939">
        <f t="shared" si="17"/>
        <v>24.3</v>
      </c>
      <c r="H939">
        <v>2</v>
      </c>
    </row>
    <row r="940" spans="2:8">
      <c r="B940" s="3">
        <v>45615</v>
      </c>
      <c r="C940" t="s">
        <v>27</v>
      </c>
      <c r="D940">
        <f>VLOOKUP(C940,成本价!$C$2:$D$83,2,0)*H940</f>
        <v>5.4</v>
      </c>
      <c r="G940">
        <f t="shared" si="17"/>
        <v>-5.4</v>
      </c>
      <c r="H940">
        <v>3</v>
      </c>
    </row>
    <row r="941" spans="2:8">
      <c r="B941" s="3">
        <v>45615</v>
      </c>
      <c r="C941" t="s">
        <v>55</v>
      </c>
      <c r="D941">
        <f>VLOOKUP(C941,成本价!$C$2:$D$83,2,0)*H941</f>
        <v>3.513</v>
      </c>
      <c r="E941">
        <v>13.11</v>
      </c>
      <c r="F941">
        <v>3.5</v>
      </c>
      <c r="G941">
        <f t="shared" si="17"/>
        <v>9.597</v>
      </c>
      <c r="H941">
        <v>3</v>
      </c>
    </row>
    <row r="942" spans="2:8">
      <c r="B942" s="3">
        <v>45615</v>
      </c>
      <c r="C942" t="s">
        <v>12</v>
      </c>
      <c r="D942">
        <f>VLOOKUP(C942,成本价!$C$2:$D$83,2,0)*H942</f>
        <v>1.161</v>
      </c>
      <c r="E942">
        <v>9.4</v>
      </c>
      <c r="F942">
        <v>3.5</v>
      </c>
      <c r="G942">
        <f t="shared" si="17"/>
        <v>8.239</v>
      </c>
      <c r="H942">
        <v>3</v>
      </c>
    </row>
    <row r="943" spans="2:8">
      <c r="B943" s="3">
        <v>45615</v>
      </c>
      <c r="C943" t="s">
        <v>44</v>
      </c>
      <c r="D943">
        <f>VLOOKUP(C943,成本价!$C$2:$D$83,2,0)*H943</f>
        <v>1.191</v>
      </c>
      <c r="G943">
        <f t="shared" si="17"/>
        <v>-1.191</v>
      </c>
      <c r="H943">
        <v>3</v>
      </c>
    </row>
    <row r="944" spans="2:8">
      <c r="B944" s="3">
        <v>45615</v>
      </c>
      <c r="C944" t="s">
        <v>33</v>
      </c>
      <c r="D944">
        <f>VLOOKUP(C944,成本价!$C$2:$D$83,2,0)*H944</f>
        <v>1.7</v>
      </c>
      <c r="E944">
        <v>6.36</v>
      </c>
      <c r="F944">
        <v>3.5</v>
      </c>
      <c r="G944">
        <f t="shared" si="17"/>
        <v>4.66</v>
      </c>
      <c r="H944">
        <v>1</v>
      </c>
    </row>
    <row r="945" spans="2:8">
      <c r="B945" s="3">
        <v>45615</v>
      </c>
      <c r="C945" t="s">
        <v>49</v>
      </c>
      <c r="D945">
        <f>VLOOKUP(C945,成本价!$C$2:$D$83,2,0)*H945</f>
        <v>1.975</v>
      </c>
      <c r="E945">
        <v>10.04</v>
      </c>
      <c r="F945">
        <v>3.5</v>
      </c>
      <c r="G945">
        <f t="shared" si="17"/>
        <v>8.065</v>
      </c>
      <c r="H945">
        <v>1</v>
      </c>
    </row>
    <row r="946" spans="2:10">
      <c r="B946" s="3">
        <v>45615</v>
      </c>
      <c r="C946" t="s">
        <v>23</v>
      </c>
      <c r="D946">
        <f>VLOOKUP(C946,成本价!$C$2:$D$83,2,0)*H946</f>
        <v>4.16</v>
      </c>
      <c r="E946">
        <v>14.95</v>
      </c>
      <c r="F946">
        <v>3.5</v>
      </c>
      <c r="G946">
        <f t="shared" si="17"/>
        <v>10.79</v>
      </c>
      <c r="H946">
        <v>2</v>
      </c>
      <c r="J946" s="2" t="s">
        <v>74</v>
      </c>
    </row>
    <row r="947" spans="2:9">
      <c r="B947" s="3">
        <v>45615</v>
      </c>
      <c r="I947">
        <f>131.99+10.27-18.47</f>
        <v>123.79</v>
      </c>
    </row>
    <row r="948" spans="2:8">
      <c r="B948" s="29">
        <v>45616</v>
      </c>
      <c r="C948" t="s">
        <v>50</v>
      </c>
      <c r="D948">
        <f>VLOOKUP(C948,成本价!$C$2:$D$83,2,0)*H948</f>
        <v>2.749</v>
      </c>
      <c r="E948">
        <v>10.9</v>
      </c>
      <c r="F948">
        <v>3.5</v>
      </c>
      <c r="G948">
        <f t="shared" si="17"/>
        <v>8.151</v>
      </c>
      <c r="H948">
        <v>1</v>
      </c>
    </row>
    <row r="949" spans="2:8">
      <c r="B949" s="3">
        <v>45616</v>
      </c>
      <c r="C949" t="s">
        <v>50</v>
      </c>
      <c r="D949">
        <f>VLOOKUP(C949,成本价!$C$2:$D$83,2,0)*H949</f>
        <v>2.749</v>
      </c>
      <c r="E949">
        <v>10.3</v>
      </c>
      <c r="F949">
        <v>3.5</v>
      </c>
      <c r="G949">
        <f t="shared" si="17"/>
        <v>7.551</v>
      </c>
      <c r="H949">
        <v>1</v>
      </c>
    </row>
    <row r="950" spans="2:8">
      <c r="B950" s="3">
        <v>45616</v>
      </c>
      <c r="C950" t="s">
        <v>76</v>
      </c>
      <c r="D950">
        <f>VLOOKUP(C950,成本价!$C$2:$D$83,2,0)*H950</f>
        <v>1.7856</v>
      </c>
      <c r="E950">
        <v>15.5</v>
      </c>
      <c r="F950">
        <v>3.5</v>
      </c>
      <c r="G950">
        <f t="shared" si="17"/>
        <v>13.7144</v>
      </c>
      <c r="H950">
        <v>1</v>
      </c>
    </row>
    <row r="951" spans="2:8">
      <c r="B951" s="3">
        <v>45616</v>
      </c>
      <c r="C951" t="s">
        <v>50</v>
      </c>
      <c r="D951">
        <f>VLOOKUP(C951,成本价!$C$2:$D$83,2,0)*H951</f>
        <v>2.749</v>
      </c>
      <c r="E951">
        <v>10.3</v>
      </c>
      <c r="F951">
        <v>3.5</v>
      </c>
      <c r="G951">
        <f t="shared" ref="G951:G1009" si="18">E951-D951</f>
        <v>7.551</v>
      </c>
      <c r="H951">
        <v>1</v>
      </c>
    </row>
    <row r="952" spans="2:8">
      <c r="B952" s="3">
        <v>45616</v>
      </c>
      <c r="C952" t="s">
        <v>36</v>
      </c>
      <c r="D952">
        <f>VLOOKUP(C952,成本价!$C$2:$D$83,2,0)*H952</f>
        <v>3.48</v>
      </c>
      <c r="E952">
        <v>7.9</v>
      </c>
      <c r="F952">
        <v>3.5</v>
      </c>
      <c r="G952">
        <f t="shared" si="18"/>
        <v>4.42</v>
      </c>
      <c r="H952">
        <v>1.5</v>
      </c>
    </row>
    <row r="953" spans="2:8">
      <c r="B953" s="3">
        <v>45616</v>
      </c>
      <c r="C953" t="s">
        <v>71</v>
      </c>
      <c r="D953">
        <f>VLOOKUP(C953,成本价!$C$2:$D$83,2,0)*H953</f>
        <v>3.573</v>
      </c>
      <c r="E953">
        <v>13.11</v>
      </c>
      <c r="F953">
        <v>3.5</v>
      </c>
      <c r="G953">
        <f t="shared" si="18"/>
        <v>9.537</v>
      </c>
      <c r="H953">
        <v>3</v>
      </c>
    </row>
    <row r="954" spans="2:8">
      <c r="B954" s="3">
        <v>45616</v>
      </c>
      <c r="C954" t="s">
        <v>33</v>
      </c>
      <c r="D954">
        <f>VLOOKUP(C954,成本价!$C$2:$D$83,2,0)*H954</f>
        <v>1.7</v>
      </c>
      <c r="E954">
        <v>5.46</v>
      </c>
      <c r="F954">
        <v>3.5</v>
      </c>
      <c r="G954">
        <f t="shared" si="18"/>
        <v>3.76</v>
      </c>
      <c r="H954">
        <v>1</v>
      </c>
    </row>
    <row r="955" spans="2:8">
      <c r="B955" s="3">
        <v>45616</v>
      </c>
      <c r="C955" t="s">
        <v>77</v>
      </c>
      <c r="D955">
        <f>VLOOKUP(C955,成本价!$C$2:$D$83,2,0)*H955</f>
        <v>0.4032</v>
      </c>
      <c r="E955">
        <v>7.83</v>
      </c>
      <c r="F955">
        <v>3.5</v>
      </c>
      <c r="G955">
        <f t="shared" si="18"/>
        <v>7.4268</v>
      </c>
      <c r="H955">
        <v>1</v>
      </c>
    </row>
    <row r="956" spans="2:8">
      <c r="B956" s="3">
        <v>45616</v>
      </c>
      <c r="C956" t="s">
        <v>55</v>
      </c>
      <c r="D956">
        <f>VLOOKUP(C956,成本价!$C$2:$D$83,2,0)*H956</f>
        <v>3.513</v>
      </c>
      <c r="E956">
        <v>13.11</v>
      </c>
      <c r="F956">
        <v>3.5</v>
      </c>
      <c r="G956">
        <f t="shared" si="18"/>
        <v>9.597</v>
      </c>
      <c r="H956">
        <v>3</v>
      </c>
    </row>
    <row r="957" spans="2:8">
      <c r="B957" s="3">
        <v>45616</v>
      </c>
      <c r="C957" t="s">
        <v>54</v>
      </c>
      <c r="D957">
        <f>VLOOKUP(C957,成本价!$C$2:$D$83,2,0)*H957</f>
        <v>14.7</v>
      </c>
      <c r="E957">
        <v>27.6</v>
      </c>
      <c r="F957">
        <v>3.5</v>
      </c>
      <c r="G957">
        <f t="shared" si="18"/>
        <v>12.9</v>
      </c>
      <c r="H957">
        <v>1</v>
      </c>
    </row>
    <row r="958" spans="2:8">
      <c r="B958" s="3">
        <v>45616</v>
      </c>
      <c r="C958" t="s">
        <v>76</v>
      </c>
      <c r="D958">
        <f>VLOOKUP(C958,成本价!$C$2:$D$83,2,0)*H958</f>
        <v>1.7856</v>
      </c>
      <c r="E958">
        <v>15.49</v>
      </c>
      <c r="F958">
        <v>3.5</v>
      </c>
      <c r="G958">
        <f t="shared" si="18"/>
        <v>13.7044</v>
      </c>
      <c r="H958">
        <v>1</v>
      </c>
    </row>
    <row r="959" spans="2:8">
      <c r="B959" s="3">
        <v>45616</v>
      </c>
      <c r="C959" t="s">
        <v>76</v>
      </c>
      <c r="D959">
        <f>VLOOKUP(C959,成本价!$C$2:$D$83,2,0)*H959</f>
        <v>1.7856</v>
      </c>
      <c r="E959">
        <v>15.5</v>
      </c>
      <c r="F959">
        <v>3.5</v>
      </c>
      <c r="G959">
        <f t="shared" si="18"/>
        <v>13.7144</v>
      </c>
      <c r="H959">
        <v>1</v>
      </c>
    </row>
    <row r="960" spans="2:8">
      <c r="B960" s="3">
        <v>45616</v>
      </c>
      <c r="C960" t="s">
        <v>58</v>
      </c>
      <c r="D960">
        <f>VLOOKUP(C960,成本价!$C$2:$D$83,2,0)*H960</f>
        <v>8.4</v>
      </c>
      <c r="E960">
        <v>17.6</v>
      </c>
      <c r="F960">
        <v>3.5</v>
      </c>
      <c r="G960">
        <f t="shared" si="18"/>
        <v>9.2</v>
      </c>
      <c r="H960">
        <v>1</v>
      </c>
    </row>
    <row r="961" spans="2:8">
      <c r="B961" s="3">
        <v>45616</v>
      </c>
      <c r="C961" t="s">
        <v>33</v>
      </c>
      <c r="D961">
        <f>VLOOKUP(C961,成本价!$C$2:$D$83,2,0)*H961</f>
        <v>5.1</v>
      </c>
      <c r="E961">
        <f>6.79+6.8</f>
        <v>13.59</v>
      </c>
      <c r="F961">
        <v>3.5</v>
      </c>
      <c r="G961">
        <f t="shared" si="18"/>
        <v>8.49</v>
      </c>
      <c r="H961">
        <v>3</v>
      </c>
    </row>
    <row r="962" spans="2:8">
      <c r="B962" s="3">
        <v>45616</v>
      </c>
      <c r="C962" t="s">
        <v>56</v>
      </c>
      <c r="D962">
        <f>VLOOKUP(C962,成本价!$C$2:$D$83,2,0)*H962</f>
        <v>3.483</v>
      </c>
      <c r="E962">
        <v>13.11</v>
      </c>
      <c r="F962">
        <v>3.5</v>
      </c>
      <c r="G962">
        <f t="shared" si="18"/>
        <v>9.627</v>
      </c>
      <c r="H962">
        <v>3</v>
      </c>
    </row>
    <row r="963" spans="2:8">
      <c r="B963" s="3">
        <v>45616</v>
      </c>
      <c r="C963" t="s">
        <v>58</v>
      </c>
      <c r="D963">
        <f>VLOOKUP(C963,成本价!$C$2:$D$83,2,0)*H963</f>
        <v>16.8</v>
      </c>
      <c r="E963">
        <v>35.2</v>
      </c>
      <c r="F963">
        <v>3.5</v>
      </c>
      <c r="G963">
        <f t="shared" si="18"/>
        <v>18.4</v>
      </c>
      <c r="H963">
        <v>2</v>
      </c>
    </row>
    <row r="964" spans="2:8">
      <c r="B964" s="3">
        <v>45616</v>
      </c>
      <c r="C964" t="s">
        <v>55</v>
      </c>
      <c r="D964">
        <f>VLOOKUP(C964,成本价!$C$2:$D$83,2,0)*H964</f>
        <v>3.513</v>
      </c>
      <c r="E964">
        <v>13.11</v>
      </c>
      <c r="F964">
        <v>3.5</v>
      </c>
      <c r="G964">
        <f t="shared" si="18"/>
        <v>9.597</v>
      </c>
      <c r="H964">
        <v>3</v>
      </c>
    </row>
    <row r="965" spans="2:7">
      <c r="B965" s="3">
        <v>45616</v>
      </c>
      <c r="C965" t="s">
        <v>12</v>
      </c>
      <c r="D965">
        <f>VLOOKUP(C965,成本价!$C$2:$D$83,2,0)*H965</f>
        <v>0</v>
      </c>
      <c r="G965">
        <f t="shared" si="18"/>
        <v>0</v>
      </c>
    </row>
    <row r="966" spans="2:8">
      <c r="B966" s="3">
        <v>45616</v>
      </c>
      <c r="C966" t="s">
        <v>78</v>
      </c>
      <c r="D966">
        <f>VLOOKUP(C966,成本价!$C$2:$D$83,2,0)*H966</f>
        <v>0.1728</v>
      </c>
      <c r="E966">
        <v>4.93</v>
      </c>
      <c r="F966">
        <v>3.5</v>
      </c>
      <c r="G966">
        <f t="shared" si="18"/>
        <v>4.7572</v>
      </c>
      <c r="H966">
        <v>1</v>
      </c>
    </row>
    <row r="967" spans="2:8">
      <c r="B967" s="3">
        <v>45616</v>
      </c>
      <c r="C967" t="s">
        <v>65</v>
      </c>
      <c r="D967">
        <f>VLOOKUP(C967,成本价!$C$2:$D$83,2,0)*H967</f>
        <v>5.3</v>
      </c>
      <c r="E967">
        <v>17.3</v>
      </c>
      <c r="F967">
        <v>3.5</v>
      </c>
      <c r="G967">
        <f t="shared" si="18"/>
        <v>12</v>
      </c>
      <c r="H967">
        <v>1</v>
      </c>
    </row>
    <row r="968" spans="2:8">
      <c r="B968" s="3">
        <v>45616</v>
      </c>
      <c r="C968" t="s">
        <v>33</v>
      </c>
      <c r="D968">
        <f>VLOOKUP(C968,成本价!$C$2:$D$83,2,0)*H968</f>
        <v>1.7</v>
      </c>
      <c r="E968">
        <v>8.88</v>
      </c>
      <c r="F968">
        <v>3.5</v>
      </c>
      <c r="G968">
        <f t="shared" si="18"/>
        <v>7.18</v>
      </c>
      <c r="H968">
        <v>1</v>
      </c>
    </row>
    <row r="969" spans="2:8">
      <c r="B969" s="3">
        <v>45616</v>
      </c>
      <c r="C969" t="s">
        <v>16</v>
      </c>
      <c r="D969">
        <f>VLOOKUP(C969,成本价!$C$2:$D$83,2,0)*H969</f>
        <v>8.1</v>
      </c>
      <c r="E969">
        <v>17.6</v>
      </c>
      <c r="F969">
        <v>3.5</v>
      </c>
      <c r="G969">
        <f t="shared" si="18"/>
        <v>9.5</v>
      </c>
      <c r="H969">
        <v>3</v>
      </c>
    </row>
    <row r="970" spans="2:8">
      <c r="B970" s="3">
        <v>45616</v>
      </c>
      <c r="C970" t="s">
        <v>58</v>
      </c>
      <c r="D970">
        <f>VLOOKUP(C970,成本价!$C$2:$D$83,2,0)*H970</f>
        <v>8.4</v>
      </c>
      <c r="E970">
        <v>17.6</v>
      </c>
      <c r="F970">
        <v>3.5</v>
      </c>
      <c r="G970">
        <f t="shared" si="18"/>
        <v>9.2</v>
      </c>
      <c r="H970">
        <v>1</v>
      </c>
    </row>
    <row r="971" spans="2:8">
      <c r="B971" s="3">
        <v>45616</v>
      </c>
      <c r="C971" t="s">
        <v>60</v>
      </c>
      <c r="D971">
        <f>VLOOKUP(C971,成本价!$C$2:$D$83,2,0)*H971</f>
        <v>5.2</v>
      </c>
      <c r="E971">
        <v>17.3</v>
      </c>
      <c r="F971">
        <v>3.5</v>
      </c>
      <c r="G971">
        <f t="shared" si="18"/>
        <v>12.1</v>
      </c>
      <c r="H971">
        <v>1</v>
      </c>
    </row>
    <row r="972" spans="2:8">
      <c r="B972" s="3">
        <v>45616</v>
      </c>
      <c r="C972" t="s">
        <v>80</v>
      </c>
      <c r="D972">
        <f>VLOOKUP(C972,成本价!$C$2:$D$83,2,0)*H972</f>
        <v>8.1</v>
      </c>
      <c r="E972">
        <v>17.6</v>
      </c>
      <c r="F972">
        <v>3.5</v>
      </c>
      <c r="G972">
        <f t="shared" si="18"/>
        <v>9.5</v>
      </c>
      <c r="H972">
        <v>1</v>
      </c>
    </row>
    <row r="973" spans="2:8">
      <c r="B973" s="3">
        <v>45616</v>
      </c>
      <c r="C973" t="s">
        <v>49</v>
      </c>
      <c r="D973">
        <f>VLOOKUP(C973,成本价!$C$2:$D$83,2,0)*H973</f>
        <v>1.975</v>
      </c>
      <c r="E973">
        <v>10.04</v>
      </c>
      <c r="F973">
        <v>3.5</v>
      </c>
      <c r="G973">
        <f t="shared" si="18"/>
        <v>8.065</v>
      </c>
      <c r="H973">
        <v>1</v>
      </c>
    </row>
    <row r="974" spans="2:8">
      <c r="B974" s="3">
        <v>45616</v>
      </c>
      <c r="C974" t="s">
        <v>33</v>
      </c>
      <c r="D974">
        <f>VLOOKUP(C974,成本价!$C$2:$D$83,2,0)*H974</f>
        <v>5.1</v>
      </c>
      <c r="E974">
        <v>13.59</v>
      </c>
      <c r="F974">
        <v>3.5</v>
      </c>
      <c r="G974">
        <f t="shared" si="18"/>
        <v>8.49</v>
      </c>
      <c r="H974">
        <v>3</v>
      </c>
    </row>
    <row r="975" spans="2:8">
      <c r="B975" s="3">
        <v>45616</v>
      </c>
      <c r="C975" t="s">
        <v>64</v>
      </c>
      <c r="D975">
        <f>VLOOKUP(C975,成本价!$C$2:$D$83,2,0)*H975</f>
        <v>6.38</v>
      </c>
      <c r="E975">
        <v>16.5</v>
      </c>
      <c r="F975">
        <v>3.5</v>
      </c>
      <c r="G975">
        <f t="shared" si="18"/>
        <v>10.12</v>
      </c>
      <c r="H975">
        <v>1</v>
      </c>
    </row>
    <row r="976" spans="2:8">
      <c r="B976" s="3">
        <v>45616</v>
      </c>
      <c r="C976" t="s">
        <v>27</v>
      </c>
      <c r="D976">
        <f>VLOOKUP(C976,成本价!$C$2:$D$83,2,0)*H976</f>
        <v>10.8</v>
      </c>
      <c r="E976">
        <f>6.7*4</f>
        <v>26.8</v>
      </c>
      <c r="F976">
        <v>3.5</v>
      </c>
      <c r="G976">
        <f t="shared" si="18"/>
        <v>16</v>
      </c>
      <c r="H976">
        <v>6</v>
      </c>
    </row>
    <row r="977" spans="2:8">
      <c r="B977" s="3">
        <v>45616</v>
      </c>
      <c r="C977" t="s">
        <v>33</v>
      </c>
      <c r="D977">
        <f>VLOOKUP(C977,成本价!$C$2:$D$83,2,0)*H977</f>
        <v>2.55</v>
      </c>
      <c r="E977">
        <f>6.7</f>
        <v>6.7</v>
      </c>
      <c r="F977">
        <v>0</v>
      </c>
      <c r="G977">
        <f t="shared" si="18"/>
        <v>4.15</v>
      </c>
      <c r="H977">
        <v>1.5</v>
      </c>
    </row>
    <row r="978" spans="2:10">
      <c r="B978" s="3">
        <v>45616</v>
      </c>
      <c r="C978" t="s">
        <v>63</v>
      </c>
      <c r="D978">
        <f>VLOOKUP(C978,成本价!$C$2:$D$83,2,0)*H978</f>
        <v>5.1</v>
      </c>
      <c r="E978">
        <v>16.63</v>
      </c>
      <c r="F978">
        <v>3.5</v>
      </c>
      <c r="G978">
        <f t="shared" si="18"/>
        <v>11.53</v>
      </c>
      <c r="H978">
        <v>1</v>
      </c>
      <c r="J978" s="2" t="s">
        <v>74</v>
      </c>
    </row>
    <row r="979" spans="2:9">
      <c r="B979" s="3">
        <v>45616</v>
      </c>
      <c r="G979">
        <f t="shared" si="18"/>
        <v>0</v>
      </c>
      <c r="I979">
        <f>131.22+18.47-7.8</f>
        <v>141.89</v>
      </c>
    </row>
    <row r="980" spans="2:8">
      <c r="B980" s="29">
        <v>45617</v>
      </c>
      <c r="C980" t="s">
        <v>40</v>
      </c>
      <c r="D980">
        <f>VLOOKUP(C980,成本价!$C$2:$D$83,2,0)*H980</f>
        <v>1.88</v>
      </c>
      <c r="E980">
        <v>7.51</v>
      </c>
      <c r="F980">
        <v>2.7</v>
      </c>
      <c r="G980">
        <f t="shared" si="18"/>
        <v>5.63</v>
      </c>
      <c r="H980">
        <v>1</v>
      </c>
    </row>
    <row r="981" spans="2:8">
      <c r="B981" s="3">
        <v>45617</v>
      </c>
      <c r="C981" t="s">
        <v>43</v>
      </c>
      <c r="D981">
        <f>VLOOKUP(C981,成本价!$C$2:$D$83,2,0)*H981</f>
        <v>2.02</v>
      </c>
      <c r="E981">
        <v>6.51</v>
      </c>
      <c r="F981">
        <v>0</v>
      </c>
      <c r="G981">
        <f t="shared" si="18"/>
        <v>4.49</v>
      </c>
      <c r="H981">
        <v>1</v>
      </c>
    </row>
    <row r="982" spans="2:8">
      <c r="B982" s="3">
        <v>45617</v>
      </c>
      <c r="C982" t="s">
        <v>40</v>
      </c>
      <c r="D982">
        <f>VLOOKUP(C982,成本价!$C$2:$D$83,2,0)*H982</f>
        <v>1.88</v>
      </c>
      <c r="E982">
        <v>7.51</v>
      </c>
      <c r="F982">
        <v>2.7</v>
      </c>
      <c r="G982">
        <f t="shared" si="18"/>
        <v>5.63</v>
      </c>
      <c r="H982">
        <v>1</v>
      </c>
    </row>
    <row r="983" spans="2:8">
      <c r="B983" s="3">
        <v>45617</v>
      </c>
      <c r="C983" t="s">
        <v>50</v>
      </c>
      <c r="D983">
        <f>VLOOKUP(C983,成本价!$C$2:$D$83,2,0)*H983</f>
        <v>2.749</v>
      </c>
      <c r="E983">
        <v>10.3</v>
      </c>
      <c r="F983">
        <v>2.7</v>
      </c>
      <c r="G983">
        <f t="shared" si="18"/>
        <v>7.551</v>
      </c>
      <c r="H983">
        <v>1</v>
      </c>
    </row>
    <row r="984" spans="2:8">
      <c r="B984" s="3">
        <v>45617</v>
      </c>
      <c r="C984" t="s">
        <v>77</v>
      </c>
      <c r="D984">
        <f>VLOOKUP(C984,成本价!$C$2:$D$83,2,0)*H984</f>
        <v>0.4032</v>
      </c>
      <c r="E984">
        <v>7.83</v>
      </c>
      <c r="F984">
        <v>2.7</v>
      </c>
      <c r="G984">
        <f t="shared" si="18"/>
        <v>7.4268</v>
      </c>
      <c r="H984">
        <v>1</v>
      </c>
    </row>
    <row r="985" spans="2:8">
      <c r="B985" s="3">
        <v>45617</v>
      </c>
      <c r="C985" t="s">
        <v>33</v>
      </c>
      <c r="D985">
        <f>VLOOKUP(C985,成本价!$C$2:$D$83,2,0)*H985</f>
        <v>1.7</v>
      </c>
      <c r="E985">
        <v>5.46</v>
      </c>
      <c r="F985">
        <v>2.7</v>
      </c>
      <c r="G985">
        <f t="shared" si="18"/>
        <v>3.76</v>
      </c>
      <c r="H985">
        <v>1</v>
      </c>
    </row>
    <row r="986" spans="2:8">
      <c r="B986" s="3">
        <v>45617</v>
      </c>
      <c r="C986" t="s">
        <v>50</v>
      </c>
      <c r="D986">
        <f>VLOOKUP(C986,成本价!$C$2:$D$83,2,0)*H986</f>
        <v>2.749</v>
      </c>
      <c r="E986">
        <v>10.3</v>
      </c>
      <c r="F986">
        <v>2.7</v>
      </c>
      <c r="G986">
        <f t="shared" si="18"/>
        <v>7.551</v>
      </c>
      <c r="H986">
        <v>1</v>
      </c>
    </row>
    <row r="987" spans="2:8">
      <c r="B987" s="3">
        <v>45617</v>
      </c>
      <c r="C987" t="s">
        <v>71</v>
      </c>
      <c r="D987">
        <f>VLOOKUP(C987,成本价!$C$2:$D$83,2,0)*H987</f>
        <v>3.573</v>
      </c>
      <c r="E987">
        <v>12.11</v>
      </c>
      <c r="F987">
        <v>2.7</v>
      </c>
      <c r="G987">
        <f t="shared" si="18"/>
        <v>8.537</v>
      </c>
      <c r="H987">
        <v>3</v>
      </c>
    </row>
    <row r="988" spans="2:8">
      <c r="B988" s="3">
        <v>45617</v>
      </c>
      <c r="C988" t="s">
        <v>55</v>
      </c>
      <c r="D988">
        <f>VLOOKUP(C988,成本价!$C$2:$D$83,2,0)*H988</f>
        <v>3.513</v>
      </c>
      <c r="E988">
        <v>12.11</v>
      </c>
      <c r="F988">
        <v>0</v>
      </c>
      <c r="G988">
        <f t="shared" si="18"/>
        <v>8.597</v>
      </c>
      <c r="H988">
        <v>3</v>
      </c>
    </row>
    <row r="989" spans="2:8">
      <c r="B989" s="3">
        <v>45617</v>
      </c>
      <c r="C989" t="s">
        <v>12</v>
      </c>
      <c r="D989">
        <f>VLOOKUP(C989,成本价!$C$2:$D$83,2,0)*H989</f>
        <v>0.774</v>
      </c>
      <c r="G989">
        <f t="shared" si="18"/>
        <v>-0.774</v>
      </c>
      <c r="H989">
        <v>2</v>
      </c>
    </row>
    <row r="990" spans="2:8">
      <c r="B990" s="3">
        <v>45617</v>
      </c>
      <c r="C990" t="s">
        <v>44</v>
      </c>
      <c r="D990">
        <f>VLOOKUP(C990,成本价!$C$2:$D$83,2,0)*H990</f>
        <v>0.397</v>
      </c>
      <c r="G990">
        <f t="shared" si="18"/>
        <v>-0.397</v>
      </c>
      <c r="H990">
        <v>1</v>
      </c>
    </row>
    <row r="991" spans="2:8">
      <c r="B991" s="3">
        <v>45617</v>
      </c>
      <c r="C991" t="s">
        <v>76</v>
      </c>
      <c r="D991">
        <f>VLOOKUP(C991,成本价!$C$2:$D$83,2,0)*H991</f>
        <v>1.7856</v>
      </c>
      <c r="E991">
        <v>15.5</v>
      </c>
      <c r="F991">
        <v>2.7</v>
      </c>
      <c r="G991">
        <f t="shared" si="18"/>
        <v>13.7144</v>
      </c>
      <c r="H991">
        <v>1</v>
      </c>
    </row>
    <row r="992" spans="2:8">
      <c r="B992" s="3">
        <v>45617</v>
      </c>
      <c r="C992" t="s">
        <v>50</v>
      </c>
      <c r="D992">
        <f>VLOOKUP(C992,成本价!$C$2:$D$83,2,0)*H992</f>
        <v>2.749</v>
      </c>
      <c r="E992">
        <v>10.3</v>
      </c>
      <c r="F992">
        <v>2.7</v>
      </c>
      <c r="G992">
        <f t="shared" si="18"/>
        <v>7.551</v>
      </c>
      <c r="H992">
        <v>1</v>
      </c>
    </row>
    <row r="993" spans="2:8">
      <c r="B993" s="3">
        <v>45617</v>
      </c>
      <c r="C993" t="s">
        <v>33</v>
      </c>
      <c r="D993">
        <f>VLOOKUP(C993,成本价!$C$2:$D$83,2,0)*H993</f>
        <v>1.7</v>
      </c>
      <c r="E993">
        <v>6.36</v>
      </c>
      <c r="F993">
        <v>2.7</v>
      </c>
      <c r="G993">
        <f t="shared" si="18"/>
        <v>4.66</v>
      </c>
      <c r="H993">
        <v>1</v>
      </c>
    </row>
    <row r="994" spans="2:8">
      <c r="B994" s="3">
        <v>45617</v>
      </c>
      <c r="C994" t="s">
        <v>33</v>
      </c>
      <c r="D994">
        <f>VLOOKUP(C994,成本价!$C$2:$D$83,2,0)*H994</f>
        <v>5.1</v>
      </c>
      <c r="E994">
        <f>6.56+6.57</f>
        <v>13.13</v>
      </c>
      <c r="F994">
        <v>2.7</v>
      </c>
      <c r="G994">
        <f t="shared" si="18"/>
        <v>8.03</v>
      </c>
      <c r="H994">
        <v>3</v>
      </c>
    </row>
    <row r="995" spans="2:8">
      <c r="B995" s="3">
        <v>45617</v>
      </c>
      <c r="C995" t="s">
        <v>27</v>
      </c>
      <c r="D995">
        <f>VLOOKUP(C995,成本价!$C$2:$D$83,2,0)*H995</f>
        <v>2.7</v>
      </c>
      <c r="E995">
        <v>6.57</v>
      </c>
      <c r="F995">
        <v>0</v>
      </c>
      <c r="G995">
        <f t="shared" si="18"/>
        <v>3.87</v>
      </c>
      <c r="H995">
        <v>1.5</v>
      </c>
    </row>
    <row r="996" spans="2:8">
      <c r="B996" s="3">
        <v>45617</v>
      </c>
      <c r="C996" t="s">
        <v>56</v>
      </c>
      <c r="D996">
        <f>VLOOKUP(C996,成本价!$C$2:$D$83,2,0)*H996</f>
        <v>1.161</v>
      </c>
      <c r="E996">
        <v>13.11</v>
      </c>
      <c r="F996">
        <v>2.7</v>
      </c>
      <c r="G996">
        <f t="shared" si="18"/>
        <v>11.949</v>
      </c>
      <c r="H996">
        <v>1</v>
      </c>
    </row>
    <row r="997" spans="2:8">
      <c r="B997" s="3">
        <v>45617</v>
      </c>
      <c r="C997" t="s">
        <v>50</v>
      </c>
      <c r="D997">
        <f>VLOOKUP(C997,成本价!$C$2:$D$83,2,0)*H997</f>
        <v>2.749</v>
      </c>
      <c r="E997">
        <v>10.3</v>
      </c>
      <c r="F997">
        <v>2.7</v>
      </c>
      <c r="G997">
        <f t="shared" si="18"/>
        <v>7.551</v>
      </c>
      <c r="H997">
        <v>1</v>
      </c>
    </row>
    <row r="998" spans="2:8">
      <c r="B998" s="3">
        <v>45617</v>
      </c>
      <c r="C998" t="s">
        <v>55</v>
      </c>
      <c r="D998">
        <f>VLOOKUP(C998,成本价!$C$2:$D$83,2,0)*H998</f>
        <v>1.171</v>
      </c>
      <c r="E998">
        <v>8.6</v>
      </c>
      <c r="F998">
        <v>2.7</v>
      </c>
      <c r="G998">
        <f t="shared" si="18"/>
        <v>7.429</v>
      </c>
      <c r="H998">
        <v>1</v>
      </c>
    </row>
    <row r="999" spans="2:8">
      <c r="B999" s="3">
        <v>45617</v>
      </c>
      <c r="C999" t="s">
        <v>12</v>
      </c>
      <c r="D999">
        <f>VLOOKUP(C999,成本价!$C$2:$D$83,2,0)*H999</f>
        <v>0.774</v>
      </c>
      <c r="G999">
        <f t="shared" si="18"/>
        <v>-0.774</v>
      </c>
      <c r="H999">
        <v>2</v>
      </c>
    </row>
    <row r="1000" spans="2:8">
      <c r="B1000" s="3">
        <v>45617</v>
      </c>
      <c r="C1000" t="s">
        <v>16</v>
      </c>
      <c r="D1000">
        <f>VLOOKUP(C1000,成本价!$C$2:$D$83,2,0)*H1000</f>
        <v>8.1</v>
      </c>
      <c r="E1000">
        <v>16.43</v>
      </c>
      <c r="F1000">
        <v>2.7</v>
      </c>
      <c r="G1000">
        <f t="shared" si="18"/>
        <v>8.33</v>
      </c>
      <c r="H1000">
        <v>3</v>
      </c>
    </row>
    <row r="1001" spans="2:8">
      <c r="B1001" s="3">
        <v>45617</v>
      </c>
      <c r="C1001" t="s">
        <v>33</v>
      </c>
      <c r="D1001">
        <f>VLOOKUP(C1001,成本价!$C$2:$D$83,2,0)*H1001</f>
        <v>5.1</v>
      </c>
      <c r="E1001">
        <f>6.56+6.57</f>
        <v>13.13</v>
      </c>
      <c r="F1001">
        <v>2.7</v>
      </c>
      <c r="G1001">
        <f t="shared" si="18"/>
        <v>8.03</v>
      </c>
      <c r="H1001">
        <v>3</v>
      </c>
    </row>
    <row r="1002" spans="2:8">
      <c r="B1002" s="3">
        <v>45617</v>
      </c>
      <c r="C1002" t="s">
        <v>27</v>
      </c>
      <c r="D1002">
        <f>VLOOKUP(C1002,成本价!$C$2:$D$83,2,0)*H1002</f>
        <v>2.7</v>
      </c>
      <c r="E1002">
        <v>6.57</v>
      </c>
      <c r="F1002">
        <v>2.7</v>
      </c>
      <c r="G1002">
        <f t="shared" si="18"/>
        <v>3.87</v>
      </c>
      <c r="H1002">
        <v>1.5</v>
      </c>
    </row>
    <row r="1003" spans="2:8">
      <c r="B1003" s="3">
        <v>45617</v>
      </c>
      <c r="C1003" t="s">
        <v>58</v>
      </c>
      <c r="D1003">
        <f>VLOOKUP(C1003,成本价!$C$2:$D$83,2,0)*H1003</f>
        <v>8.4</v>
      </c>
      <c r="E1003">
        <v>18.69</v>
      </c>
      <c r="F1003">
        <v>2.7</v>
      </c>
      <c r="G1003">
        <f t="shared" si="18"/>
        <v>10.29</v>
      </c>
      <c r="H1003">
        <v>1</v>
      </c>
    </row>
    <row r="1004" spans="2:10">
      <c r="B1004" s="3">
        <v>45617</v>
      </c>
      <c r="C1004" t="s">
        <v>60</v>
      </c>
      <c r="D1004">
        <f>VLOOKUP(C1004,成本价!$C$2:$D$83,2,0)*H1004</f>
        <v>5.2</v>
      </c>
      <c r="E1004">
        <v>16.75</v>
      </c>
      <c r="F1004">
        <v>2.7</v>
      </c>
      <c r="G1004">
        <f t="shared" si="18"/>
        <v>11.55</v>
      </c>
      <c r="H1004">
        <v>1</v>
      </c>
      <c r="J1004" s="2" t="s">
        <v>74</v>
      </c>
    </row>
    <row r="1005" spans="2:10">
      <c r="B1005" s="3">
        <v>45617</v>
      </c>
      <c r="C1005" t="s">
        <v>64</v>
      </c>
      <c r="D1005">
        <f>VLOOKUP(C1005,成本价!$C$2:$D$83,2,0)*H1005</f>
        <v>6.38</v>
      </c>
      <c r="E1005">
        <v>34.77</v>
      </c>
      <c r="F1005">
        <v>2.7</v>
      </c>
      <c r="G1005">
        <f t="shared" si="18"/>
        <v>28.39</v>
      </c>
      <c r="H1005">
        <v>1</v>
      </c>
      <c r="J1005" s="2" t="s">
        <v>74</v>
      </c>
    </row>
    <row r="1006" spans="2:10">
      <c r="B1006" s="3">
        <v>45617</v>
      </c>
      <c r="C1006" t="s">
        <v>83</v>
      </c>
      <c r="D1006">
        <f>VLOOKUP(C1006,成本价!$C$2:$D$83,2,0)*H1006</f>
        <v>6.66</v>
      </c>
      <c r="E1006">
        <v>0</v>
      </c>
      <c r="G1006">
        <f t="shared" si="18"/>
        <v>-6.66</v>
      </c>
      <c r="H1006">
        <v>1</v>
      </c>
      <c r="J1006" s="2" t="s">
        <v>74</v>
      </c>
    </row>
    <row r="1007" spans="2:9">
      <c r="B1007" s="3">
        <v>45617</v>
      </c>
      <c r="I1007">
        <f>90.87+7.8-5.96</f>
        <v>92.71</v>
      </c>
    </row>
    <row r="1008" spans="2:8">
      <c r="B1008" s="29">
        <v>45618</v>
      </c>
      <c r="C1008" t="s">
        <v>33</v>
      </c>
      <c r="D1008">
        <f>VLOOKUP(C1008,成本价!$C$2:$D$83,2,0)*H1008</f>
        <v>2.55</v>
      </c>
      <c r="E1008">
        <f>6.57+6.56</f>
        <v>13.13</v>
      </c>
      <c r="F1008">
        <v>2.7</v>
      </c>
      <c r="G1008">
        <f t="shared" si="18"/>
        <v>10.58</v>
      </c>
      <c r="H1008">
        <v>1.5</v>
      </c>
    </row>
    <row r="1009" spans="2:8">
      <c r="B1009" s="3">
        <v>45618</v>
      </c>
      <c r="C1009" t="s">
        <v>27</v>
      </c>
      <c r="D1009">
        <f>VLOOKUP(C1009,成本价!$C$2:$D$83,2,0)*H1009</f>
        <v>5.4</v>
      </c>
      <c r="E1009">
        <v>6.56</v>
      </c>
      <c r="F1009">
        <v>0</v>
      </c>
      <c r="G1009">
        <f t="shared" si="18"/>
        <v>1.16</v>
      </c>
      <c r="H1009">
        <v>3</v>
      </c>
    </row>
    <row r="1010" spans="2:8">
      <c r="B1010" s="3">
        <v>45618</v>
      </c>
      <c r="C1010" t="s">
        <v>54</v>
      </c>
      <c r="D1010">
        <f>VLOOKUP(C1010,成本价!$C$2:$D$83,2,0)*H1010</f>
        <v>14.7</v>
      </c>
      <c r="E1010">
        <v>25.19</v>
      </c>
      <c r="F1010">
        <v>2.7</v>
      </c>
      <c r="G1010">
        <f t="shared" ref="G1010:G1063" si="19">E1010-D1010</f>
        <v>10.49</v>
      </c>
      <c r="H1010">
        <v>1</v>
      </c>
    </row>
    <row r="1011" spans="2:8">
      <c r="B1011" s="3">
        <v>45618</v>
      </c>
      <c r="C1011" t="s">
        <v>62</v>
      </c>
      <c r="D1011">
        <f>VLOOKUP(C1011,成本价!$C$2:$D$83,2,0)*H1011</f>
        <v>6.96</v>
      </c>
      <c r="E1011">
        <v>19.22</v>
      </c>
      <c r="F1011">
        <v>2.7</v>
      </c>
      <c r="G1011">
        <f t="shared" si="19"/>
        <v>12.26</v>
      </c>
      <c r="H1011">
        <v>1</v>
      </c>
    </row>
    <row r="1012" spans="2:8">
      <c r="B1012" s="3">
        <v>45618</v>
      </c>
      <c r="C1012" t="s">
        <v>65</v>
      </c>
      <c r="D1012">
        <f>VLOOKUP(C1012,成本价!$C$2:$D$83,2,0)*H1012</f>
        <v>5.3</v>
      </c>
      <c r="E1012">
        <v>16.2</v>
      </c>
      <c r="F1012">
        <v>2.7</v>
      </c>
      <c r="G1012">
        <f t="shared" si="19"/>
        <v>10.9</v>
      </c>
      <c r="H1012">
        <v>1</v>
      </c>
    </row>
    <row r="1013" spans="2:8">
      <c r="B1013" s="3">
        <v>45618</v>
      </c>
      <c r="C1013" t="s">
        <v>55</v>
      </c>
      <c r="D1013">
        <f>VLOOKUP(C1013,成本价!$C$2:$D$83,2,0)*H1013</f>
        <v>3.513</v>
      </c>
      <c r="E1013">
        <v>12.23</v>
      </c>
      <c r="F1013">
        <v>2.7</v>
      </c>
      <c r="G1013">
        <f t="shared" si="19"/>
        <v>8.717</v>
      </c>
      <c r="H1013">
        <v>3</v>
      </c>
    </row>
    <row r="1014" spans="2:8">
      <c r="B1014" s="3">
        <v>45618</v>
      </c>
      <c r="C1014" t="s">
        <v>76</v>
      </c>
      <c r="D1014">
        <f>VLOOKUP(C1014,成本价!$C$2:$D$83,2,0)*H1014</f>
        <v>3.5712</v>
      </c>
      <c r="E1014">
        <v>26.98</v>
      </c>
      <c r="F1014">
        <v>2.7</v>
      </c>
      <c r="G1014">
        <f t="shared" si="19"/>
        <v>23.4088</v>
      </c>
      <c r="H1014">
        <v>2</v>
      </c>
    </row>
    <row r="1015" spans="2:8">
      <c r="B1015" s="3">
        <v>45618</v>
      </c>
      <c r="C1015" t="s">
        <v>80</v>
      </c>
      <c r="D1015">
        <f>VLOOKUP(C1015,成本价!$C$2:$D$83,2,0)*H1015</f>
        <v>8.1</v>
      </c>
      <c r="E1015">
        <v>18.69</v>
      </c>
      <c r="F1015">
        <v>2.7</v>
      </c>
      <c r="G1015">
        <f t="shared" si="19"/>
        <v>10.59</v>
      </c>
      <c r="H1015">
        <v>1</v>
      </c>
    </row>
    <row r="1016" spans="2:8">
      <c r="B1016" s="3">
        <v>45618</v>
      </c>
      <c r="C1016" t="s">
        <v>20</v>
      </c>
      <c r="D1016">
        <f>VLOOKUP(C1016,成本价!$C$2:$D$83,2,0)*H1016</f>
        <v>9</v>
      </c>
      <c r="E1016">
        <v>18.69</v>
      </c>
      <c r="F1016">
        <v>2.7</v>
      </c>
      <c r="G1016">
        <f t="shared" si="19"/>
        <v>9.69</v>
      </c>
      <c r="H1016">
        <v>3</v>
      </c>
    </row>
    <row r="1017" spans="2:8">
      <c r="B1017" s="3">
        <v>45618</v>
      </c>
      <c r="C1017" t="s">
        <v>12</v>
      </c>
      <c r="D1017">
        <f>VLOOKUP(C1017,成本价!$C$2:$D$83,2,0)*H1017</f>
        <v>2.322</v>
      </c>
      <c r="E1017">
        <v>9.44</v>
      </c>
      <c r="F1017">
        <v>2.7</v>
      </c>
      <c r="G1017">
        <f t="shared" si="19"/>
        <v>7.118</v>
      </c>
      <c r="H1017">
        <v>6</v>
      </c>
    </row>
    <row r="1018" spans="2:8">
      <c r="B1018" s="3">
        <v>45618</v>
      </c>
      <c r="C1018" t="s">
        <v>54</v>
      </c>
      <c r="D1018">
        <f>VLOOKUP(C1018,成本价!$C$2:$D$83,2,0)*H1018</f>
        <v>14.7</v>
      </c>
      <c r="E1018">
        <v>28.49</v>
      </c>
      <c r="F1018">
        <v>2.7</v>
      </c>
      <c r="G1018">
        <f t="shared" si="19"/>
        <v>13.79</v>
      </c>
      <c r="H1018">
        <v>1</v>
      </c>
    </row>
    <row r="1019" spans="2:8">
      <c r="B1019" s="3">
        <v>45618</v>
      </c>
      <c r="C1019" t="s">
        <v>33</v>
      </c>
      <c r="D1019">
        <f>VLOOKUP(C1019,成本价!$C$2:$D$83,2,0)*H1019</f>
        <v>1.7</v>
      </c>
      <c r="E1019">
        <v>6.39</v>
      </c>
      <c r="F1019">
        <v>2.7</v>
      </c>
      <c r="G1019">
        <f t="shared" si="19"/>
        <v>4.69</v>
      </c>
      <c r="H1019">
        <v>1</v>
      </c>
    </row>
    <row r="1020" spans="2:8">
      <c r="B1020" s="3">
        <v>45618</v>
      </c>
      <c r="C1020" t="s">
        <v>23</v>
      </c>
      <c r="D1020">
        <f>VLOOKUP(C1020,成本价!$C$2:$D$83,2,0)*H1020</f>
        <v>2.08</v>
      </c>
      <c r="E1020">
        <v>5.83</v>
      </c>
      <c r="F1020">
        <v>2.7</v>
      </c>
      <c r="G1020">
        <f t="shared" si="19"/>
        <v>3.75</v>
      </c>
      <c r="H1020">
        <v>1</v>
      </c>
    </row>
    <row r="1021" spans="2:8">
      <c r="B1021" s="3">
        <v>45618</v>
      </c>
      <c r="C1021" t="s">
        <v>50</v>
      </c>
      <c r="D1021">
        <f>VLOOKUP(C1021,成本价!$C$2:$D$83,2,0)*H1021</f>
        <v>2.749</v>
      </c>
      <c r="E1021">
        <v>10.61</v>
      </c>
      <c r="F1021">
        <v>2.7</v>
      </c>
      <c r="G1021">
        <f t="shared" si="19"/>
        <v>7.861</v>
      </c>
      <c r="H1021">
        <v>1</v>
      </c>
    </row>
    <row r="1022" spans="2:8">
      <c r="B1022" s="3">
        <v>45618</v>
      </c>
      <c r="C1022" t="s">
        <v>23</v>
      </c>
      <c r="D1022">
        <f>VLOOKUP(C1022,成本价!$C$2:$D$83,2,0)*H1022</f>
        <v>3.12</v>
      </c>
      <c r="E1022">
        <v>6.9</v>
      </c>
      <c r="F1022">
        <v>2.7</v>
      </c>
      <c r="G1022">
        <f t="shared" si="19"/>
        <v>3.78</v>
      </c>
      <c r="H1022">
        <v>1.5</v>
      </c>
    </row>
    <row r="1023" spans="2:8">
      <c r="B1023" s="3">
        <v>45618</v>
      </c>
      <c r="C1023" t="s">
        <v>50</v>
      </c>
      <c r="D1023">
        <f>VLOOKUP(C1023,成本价!$C$2:$D$83,2,0)*H1023</f>
        <v>2.749</v>
      </c>
      <c r="E1023">
        <v>10.61</v>
      </c>
      <c r="F1023">
        <v>2.7</v>
      </c>
      <c r="G1023">
        <f t="shared" si="19"/>
        <v>7.861</v>
      </c>
      <c r="H1023">
        <v>1</v>
      </c>
    </row>
    <row r="1024" spans="2:8">
      <c r="B1024" s="3">
        <v>45618</v>
      </c>
      <c r="C1024" t="s">
        <v>12</v>
      </c>
      <c r="D1024">
        <f>VLOOKUP(C1024,成本价!$C$2:$D$83,2,0)*H1024</f>
        <v>0.774</v>
      </c>
      <c r="G1024">
        <f t="shared" si="19"/>
        <v>-0.774</v>
      </c>
      <c r="H1024">
        <v>2</v>
      </c>
    </row>
    <row r="1025" spans="2:10">
      <c r="B1025" s="3">
        <v>45618</v>
      </c>
      <c r="C1025" t="s">
        <v>12</v>
      </c>
      <c r="D1025">
        <f>VLOOKUP(C1025,成本价!$C$2:$D$83,2,0)*H1025</f>
        <v>1.935</v>
      </c>
      <c r="E1025">
        <v>8.72</v>
      </c>
      <c r="F1025">
        <v>2.7</v>
      </c>
      <c r="G1025">
        <f t="shared" si="19"/>
        <v>6.785</v>
      </c>
      <c r="H1025">
        <v>5</v>
      </c>
      <c r="J1025" s="2" t="s">
        <v>74</v>
      </c>
    </row>
    <row r="1026" spans="2:10">
      <c r="B1026" s="3">
        <v>45618</v>
      </c>
      <c r="C1026" t="s">
        <v>44</v>
      </c>
      <c r="D1026">
        <f>VLOOKUP(C1026,成本价!$C$2:$D$83,2,0)*H1026</f>
        <v>0.397</v>
      </c>
      <c r="E1026">
        <v>0</v>
      </c>
      <c r="F1026">
        <v>0</v>
      </c>
      <c r="G1026">
        <f t="shared" si="19"/>
        <v>-0.397</v>
      </c>
      <c r="H1026">
        <v>1</v>
      </c>
      <c r="J1026" s="2" t="s">
        <v>74</v>
      </c>
    </row>
    <row r="1027" spans="2:9">
      <c r="B1027" s="3">
        <v>45618</v>
      </c>
      <c r="I1027">
        <v>89.76</v>
      </c>
    </row>
    <row r="1028" spans="2:8">
      <c r="B1028" s="29">
        <v>45619</v>
      </c>
      <c r="C1028" t="s">
        <v>27</v>
      </c>
      <c r="D1028">
        <f>VLOOKUP(C1028,成本价!$C$2:$D$83,2,0)*H1028</f>
        <v>1.8</v>
      </c>
      <c r="E1028">
        <v>5.93</v>
      </c>
      <c r="F1028">
        <v>2.7</v>
      </c>
      <c r="G1028">
        <f t="shared" si="19"/>
        <v>4.13</v>
      </c>
      <c r="H1028">
        <v>1</v>
      </c>
    </row>
    <row r="1029" spans="2:8">
      <c r="B1029" s="3">
        <v>45619</v>
      </c>
      <c r="C1029" t="s">
        <v>50</v>
      </c>
      <c r="D1029">
        <f>VLOOKUP(C1029,成本价!$C$2:$D$83,2,0)*H1029</f>
        <v>2.749</v>
      </c>
      <c r="E1029">
        <v>10.61</v>
      </c>
      <c r="F1029">
        <v>2.7</v>
      </c>
      <c r="G1029">
        <f t="shared" si="19"/>
        <v>7.861</v>
      </c>
      <c r="H1029">
        <v>1</v>
      </c>
    </row>
    <row r="1030" spans="2:8">
      <c r="B1030" s="3">
        <v>45619</v>
      </c>
      <c r="C1030" t="s">
        <v>63</v>
      </c>
      <c r="D1030">
        <f>VLOOKUP(C1030,成本价!$C$2:$D$83,2,0)*H1030</f>
        <v>5.1</v>
      </c>
      <c r="E1030">
        <v>16.2</v>
      </c>
      <c r="F1030">
        <v>2.7</v>
      </c>
      <c r="G1030">
        <f t="shared" si="19"/>
        <v>11.1</v>
      </c>
      <c r="H1030">
        <v>1</v>
      </c>
    </row>
    <row r="1031" spans="2:8">
      <c r="B1031" s="3">
        <v>45619</v>
      </c>
      <c r="C1031" t="s">
        <v>80</v>
      </c>
      <c r="D1031">
        <f>VLOOKUP(C1031,成本价!$C$2:$D$83,2,0)*H1031</f>
        <v>8.1</v>
      </c>
      <c r="E1031">
        <v>18.24</v>
      </c>
      <c r="F1031">
        <v>2.7</v>
      </c>
      <c r="G1031">
        <f t="shared" si="19"/>
        <v>10.14</v>
      </c>
      <c r="H1031">
        <v>1</v>
      </c>
    </row>
    <row r="1032" spans="2:8">
      <c r="B1032" s="3">
        <v>45619</v>
      </c>
      <c r="C1032" t="s">
        <v>76</v>
      </c>
      <c r="D1032">
        <f>VLOOKUP(C1032,成本价!$C$2:$D$83,2,0)*H1032</f>
        <v>1.7856</v>
      </c>
      <c r="E1032">
        <v>14.88</v>
      </c>
      <c r="F1032">
        <v>2.7</v>
      </c>
      <c r="G1032">
        <f t="shared" si="19"/>
        <v>13.0944</v>
      </c>
      <c r="H1032">
        <v>1</v>
      </c>
    </row>
    <row r="1033" spans="2:8">
      <c r="B1033" s="3">
        <v>45619</v>
      </c>
      <c r="C1033" t="s">
        <v>59</v>
      </c>
      <c r="D1033">
        <f>VLOOKUP(C1033,成本价!$C$2:$D$83,2,0)*H1033</f>
        <v>8.7</v>
      </c>
      <c r="E1033">
        <v>24.3</v>
      </c>
      <c r="F1033">
        <v>2.7</v>
      </c>
      <c r="G1033">
        <f t="shared" si="19"/>
        <v>15.6</v>
      </c>
      <c r="H1033">
        <v>1</v>
      </c>
    </row>
    <row r="1034" spans="2:8">
      <c r="B1034" s="3">
        <v>45619</v>
      </c>
      <c r="C1034" t="s">
        <v>55</v>
      </c>
      <c r="D1034">
        <f>VLOOKUP(C1034,成本价!$C$2:$D$83,2,0)*H1034</f>
        <v>1.171</v>
      </c>
      <c r="E1034">
        <v>7.82</v>
      </c>
      <c r="F1034">
        <v>2.7</v>
      </c>
      <c r="G1034">
        <f t="shared" si="19"/>
        <v>6.649</v>
      </c>
      <c r="H1034">
        <v>1</v>
      </c>
    </row>
    <row r="1035" spans="2:8">
      <c r="B1035" s="3">
        <v>45619</v>
      </c>
      <c r="C1035" t="s">
        <v>60</v>
      </c>
      <c r="D1035">
        <f>VLOOKUP(C1035,成本价!$C$2:$D$83,2,0)*H1035</f>
        <v>5.2</v>
      </c>
      <c r="E1035">
        <v>16.2</v>
      </c>
      <c r="F1035">
        <v>2.7</v>
      </c>
      <c r="G1035">
        <f t="shared" si="19"/>
        <v>11</v>
      </c>
      <c r="H1035">
        <v>1</v>
      </c>
    </row>
    <row r="1036" spans="2:8">
      <c r="B1036" s="3">
        <v>45619</v>
      </c>
      <c r="C1036" t="s">
        <v>12</v>
      </c>
      <c r="D1036">
        <f>VLOOKUP(C1036,成本价!$C$2:$D$83,2,0)*H1036</f>
        <v>2.322</v>
      </c>
      <c r="E1036">
        <v>9.4</v>
      </c>
      <c r="F1036">
        <v>2.7</v>
      </c>
      <c r="G1036">
        <f t="shared" si="19"/>
        <v>7.078</v>
      </c>
      <c r="H1036">
        <v>6</v>
      </c>
    </row>
    <row r="1037" spans="2:8">
      <c r="B1037" s="3">
        <v>45619</v>
      </c>
      <c r="C1037" t="s">
        <v>16</v>
      </c>
      <c r="D1037">
        <f>VLOOKUP(C1037,成本价!$C$2:$D$83,2,0)*H1037</f>
        <v>8.1</v>
      </c>
      <c r="E1037">
        <v>18.24</v>
      </c>
      <c r="F1037">
        <v>2.7</v>
      </c>
      <c r="G1037">
        <f t="shared" si="19"/>
        <v>10.14</v>
      </c>
      <c r="H1037">
        <v>3</v>
      </c>
    </row>
    <row r="1038" spans="2:8">
      <c r="B1038" s="3">
        <v>45619</v>
      </c>
      <c r="C1038" t="s">
        <v>50</v>
      </c>
      <c r="D1038">
        <f>VLOOKUP(C1038,成本价!$C$2:$D$83,2,0)*H1038</f>
        <v>2.749</v>
      </c>
      <c r="E1038">
        <v>10.6</v>
      </c>
      <c r="F1038">
        <v>2.7</v>
      </c>
      <c r="G1038">
        <f t="shared" si="19"/>
        <v>7.851</v>
      </c>
      <c r="H1038">
        <v>1</v>
      </c>
    </row>
    <row r="1039" spans="2:8">
      <c r="B1039" s="3">
        <v>45619</v>
      </c>
      <c r="C1039" t="s">
        <v>27</v>
      </c>
      <c r="D1039">
        <f>VLOOKUP(C1039,成本价!$C$2:$D$83,2,0)*H1039</f>
        <v>1.8</v>
      </c>
      <c r="E1039">
        <v>6.38</v>
      </c>
      <c r="F1039">
        <v>2.7</v>
      </c>
      <c r="G1039">
        <f t="shared" si="19"/>
        <v>4.58</v>
      </c>
      <c r="H1039">
        <v>1</v>
      </c>
    </row>
    <row r="1040" spans="2:8">
      <c r="B1040" s="3">
        <v>45619</v>
      </c>
      <c r="C1040" t="s">
        <v>58</v>
      </c>
      <c r="D1040">
        <f>VLOOKUP(C1040,成本价!$C$2:$D$83,2,0)*H1040</f>
        <v>8.4</v>
      </c>
      <c r="E1040">
        <v>18.47</v>
      </c>
      <c r="F1040">
        <v>2.7</v>
      </c>
      <c r="G1040">
        <f t="shared" si="19"/>
        <v>10.07</v>
      </c>
      <c r="H1040">
        <v>1</v>
      </c>
    </row>
    <row r="1041" spans="2:8">
      <c r="B1041" s="3">
        <v>45619</v>
      </c>
      <c r="C1041" t="s">
        <v>56</v>
      </c>
      <c r="D1041">
        <f>VLOOKUP(C1041,成本价!$C$2:$D$83,2,0)*H1041</f>
        <v>3.483</v>
      </c>
      <c r="E1041">
        <v>13.1</v>
      </c>
      <c r="F1041">
        <v>2.7</v>
      </c>
      <c r="G1041">
        <f t="shared" si="19"/>
        <v>9.617</v>
      </c>
      <c r="H1041">
        <v>3</v>
      </c>
    </row>
    <row r="1042" spans="2:8">
      <c r="B1042" s="3">
        <v>45619</v>
      </c>
      <c r="C1042" t="s">
        <v>55</v>
      </c>
      <c r="D1042">
        <f>VLOOKUP(C1042,成本价!$C$2:$D$83,2,0)*H1042</f>
        <v>1.171</v>
      </c>
      <c r="E1042">
        <v>8.4</v>
      </c>
      <c r="F1042">
        <v>2.7</v>
      </c>
      <c r="G1042">
        <f t="shared" si="19"/>
        <v>7.229</v>
      </c>
      <c r="H1042">
        <v>1</v>
      </c>
    </row>
    <row r="1043" spans="2:8">
      <c r="B1043" s="3">
        <v>45619</v>
      </c>
      <c r="C1043" t="s">
        <v>76</v>
      </c>
      <c r="D1043">
        <f>VLOOKUP(C1043,成本价!$C$2:$D$83,2,0)*H1043</f>
        <v>1.7856</v>
      </c>
      <c r="E1043">
        <v>15.5</v>
      </c>
      <c r="F1043">
        <v>2.7</v>
      </c>
      <c r="G1043">
        <f t="shared" si="19"/>
        <v>13.7144</v>
      </c>
      <c r="H1043">
        <v>1</v>
      </c>
    </row>
    <row r="1044" spans="2:9">
      <c r="B1044" s="3">
        <v>45619</v>
      </c>
      <c r="I1044">
        <v>81.15</v>
      </c>
    </row>
    <row r="1045" spans="2:8">
      <c r="B1045" s="29">
        <v>45620</v>
      </c>
      <c r="C1045" t="s">
        <v>27</v>
      </c>
      <c r="D1045">
        <f>VLOOKUP(C1045,成本价!$C$2:$D$83,2,0)*H1045</f>
        <v>1.8</v>
      </c>
      <c r="E1045">
        <v>6.38</v>
      </c>
      <c r="F1045">
        <v>2.7</v>
      </c>
      <c r="G1045">
        <f t="shared" si="19"/>
        <v>4.58</v>
      </c>
      <c r="H1045">
        <v>1</v>
      </c>
    </row>
    <row r="1046" spans="2:8">
      <c r="B1046" s="3">
        <v>45620</v>
      </c>
      <c r="C1046" t="s">
        <v>49</v>
      </c>
      <c r="D1046">
        <f>VLOOKUP(C1046,成本价!$C$2:$D$83,2,0)*H1046</f>
        <v>1.975</v>
      </c>
      <c r="E1046">
        <v>10.09</v>
      </c>
      <c r="F1046">
        <v>2.7</v>
      </c>
      <c r="G1046">
        <f t="shared" si="19"/>
        <v>8.115</v>
      </c>
      <c r="H1046">
        <v>1</v>
      </c>
    </row>
    <row r="1047" spans="2:8">
      <c r="B1047" s="3">
        <v>45620</v>
      </c>
      <c r="C1047" t="s">
        <v>76</v>
      </c>
      <c r="D1047">
        <f>VLOOKUP(C1047,成本价!$C$2:$D$83,2,0)*H1047</f>
        <v>1.7856</v>
      </c>
      <c r="E1047">
        <v>14.88</v>
      </c>
      <c r="F1047">
        <v>2.7</v>
      </c>
      <c r="G1047">
        <f t="shared" si="19"/>
        <v>13.0944</v>
      </c>
      <c r="H1047">
        <v>1</v>
      </c>
    </row>
    <row r="1048" spans="2:8">
      <c r="B1048" s="3">
        <v>45620</v>
      </c>
      <c r="C1048" t="s">
        <v>55</v>
      </c>
      <c r="D1048">
        <f>VLOOKUP(C1048,成本价!$C$2:$D$83,2,0)*H1048</f>
        <v>7.026</v>
      </c>
      <c r="E1048">
        <v>24.18</v>
      </c>
      <c r="F1048">
        <v>2.7</v>
      </c>
      <c r="G1048">
        <f t="shared" si="19"/>
        <v>17.154</v>
      </c>
      <c r="H1048">
        <v>6</v>
      </c>
    </row>
    <row r="1049" spans="2:8">
      <c r="B1049" s="3">
        <v>45620</v>
      </c>
      <c r="C1049" t="s">
        <v>23</v>
      </c>
      <c r="D1049">
        <f>VLOOKUP(C1049,成本价!$C$2:$D$83,2,0)*H1049</f>
        <v>2.08</v>
      </c>
      <c r="E1049">
        <v>7.34</v>
      </c>
      <c r="F1049">
        <v>2.7</v>
      </c>
      <c r="G1049">
        <f t="shared" si="19"/>
        <v>5.26</v>
      </c>
      <c r="H1049">
        <v>1</v>
      </c>
    </row>
    <row r="1050" spans="2:8">
      <c r="B1050" s="3">
        <v>45620</v>
      </c>
      <c r="C1050" t="s">
        <v>60</v>
      </c>
      <c r="D1050">
        <f>VLOOKUP(C1050,成本价!$C$2:$D$83,2,0)*H1050</f>
        <v>5.2</v>
      </c>
      <c r="E1050">
        <v>15.2</v>
      </c>
      <c r="F1050">
        <v>2.7</v>
      </c>
      <c r="G1050">
        <f t="shared" si="19"/>
        <v>10</v>
      </c>
      <c r="H1050">
        <v>1</v>
      </c>
    </row>
    <row r="1051" spans="2:8">
      <c r="B1051" s="3">
        <v>45620</v>
      </c>
      <c r="C1051" t="s">
        <v>49</v>
      </c>
      <c r="D1051">
        <f>VLOOKUP(C1051,成本价!$C$2:$D$83,2,0)*H1051</f>
        <v>1.975</v>
      </c>
      <c r="E1051">
        <v>10.09</v>
      </c>
      <c r="F1051">
        <v>2.7</v>
      </c>
      <c r="G1051">
        <f t="shared" si="19"/>
        <v>8.115</v>
      </c>
      <c r="H1051">
        <v>1</v>
      </c>
    </row>
    <row r="1052" spans="2:8">
      <c r="B1052" s="3">
        <v>45620</v>
      </c>
      <c r="C1052" t="s">
        <v>63</v>
      </c>
      <c r="D1052">
        <f>VLOOKUP(C1052,成本价!$C$2:$D$83,2,0)*H1052</f>
        <v>5.1</v>
      </c>
      <c r="E1052">
        <v>16.2</v>
      </c>
      <c r="F1052">
        <v>2.7</v>
      </c>
      <c r="G1052">
        <f t="shared" si="19"/>
        <v>11.1</v>
      </c>
      <c r="H1052">
        <v>1</v>
      </c>
    </row>
    <row r="1053" spans="2:8">
      <c r="B1053" s="3">
        <v>45620</v>
      </c>
      <c r="C1053" t="s">
        <v>58</v>
      </c>
      <c r="D1053">
        <f>VLOOKUP(C1053,成本价!$C$2:$D$83,2,0)*H1053</f>
        <v>8.4</v>
      </c>
      <c r="E1053">
        <v>18.24</v>
      </c>
      <c r="F1053">
        <v>2.7</v>
      </c>
      <c r="G1053">
        <f t="shared" si="19"/>
        <v>9.84</v>
      </c>
      <c r="H1053">
        <v>1</v>
      </c>
    </row>
    <row r="1054" spans="2:8">
      <c r="B1054" s="3">
        <v>45620</v>
      </c>
      <c r="C1054" t="s">
        <v>60</v>
      </c>
      <c r="D1054">
        <f>VLOOKUP(C1054,成本价!$C$2:$D$83,2,0)*H1054</f>
        <v>5.2</v>
      </c>
      <c r="E1054">
        <v>16.2</v>
      </c>
      <c r="F1054">
        <v>2.7</v>
      </c>
      <c r="G1054">
        <f t="shared" si="19"/>
        <v>11</v>
      </c>
      <c r="H1054">
        <v>1</v>
      </c>
    </row>
    <row r="1055" spans="2:8">
      <c r="B1055" s="3">
        <v>45620</v>
      </c>
      <c r="C1055" t="s">
        <v>55</v>
      </c>
      <c r="D1055">
        <f>VLOOKUP(C1055,成本价!$C$2:$D$83,2,0)*H1055</f>
        <v>3.513</v>
      </c>
      <c r="E1055">
        <v>13.09</v>
      </c>
      <c r="F1055">
        <v>2.7</v>
      </c>
      <c r="G1055">
        <f t="shared" si="19"/>
        <v>9.577</v>
      </c>
      <c r="H1055">
        <v>3</v>
      </c>
    </row>
    <row r="1056" spans="2:8">
      <c r="B1056" s="3">
        <v>45620</v>
      </c>
      <c r="C1056" t="s">
        <v>50</v>
      </c>
      <c r="D1056">
        <f>VLOOKUP(C1056,成本价!$C$2:$D$83,2,0)*H1056</f>
        <v>2.749</v>
      </c>
      <c r="E1056">
        <v>11.29</v>
      </c>
      <c r="F1056">
        <v>2.7</v>
      </c>
      <c r="G1056">
        <f t="shared" si="19"/>
        <v>8.541</v>
      </c>
      <c r="H1056">
        <v>1</v>
      </c>
    </row>
    <row r="1057" spans="2:8">
      <c r="B1057" s="3">
        <v>45620</v>
      </c>
      <c r="C1057" t="s">
        <v>12</v>
      </c>
      <c r="D1057">
        <f>VLOOKUP(C1057,成本价!$C$2:$D$83,2,0)*H1057</f>
        <v>0.774</v>
      </c>
      <c r="G1057">
        <f t="shared" si="19"/>
        <v>-0.774</v>
      </c>
      <c r="H1057">
        <v>2</v>
      </c>
    </row>
    <row r="1058" spans="2:8">
      <c r="B1058" s="3">
        <v>45620</v>
      </c>
      <c r="C1058" t="s">
        <v>28</v>
      </c>
      <c r="D1058">
        <f>VLOOKUP(C1058,成本价!$C$2:$D$83,2,0)*H1058</f>
        <v>2.22</v>
      </c>
      <c r="E1058">
        <v>7.34</v>
      </c>
      <c r="F1058">
        <v>2.7</v>
      </c>
      <c r="G1058">
        <f t="shared" si="19"/>
        <v>5.12</v>
      </c>
      <c r="H1058">
        <v>1</v>
      </c>
    </row>
    <row r="1059" spans="2:8">
      <c r="B1059" s="3">
        <v>45620</v>
      </c>
      <c r="C1059" t="s">
        <v>55</v>
      </c>
      <c r="D1059">
        <f>VLOOKUP(C1059,成本价!$C$2:$D$83,2,0)*H1059</f>
        <v>3.513</v>
      </c>
      <c r="E1059">
        <v>13.09</v>
      </c>
      <c r="F1059">
        <v>2.7</v>
      </c>
      <c r="G1059">
        <f t="shared" si="19"/>
        <v>9.577</v>
      </c>
      <c r="H1059">
        <v>3</v>
      </c>
    </row>
    <row r="1060" spans="2:8">
      <c r="B1060" s="3">
        <v>45620</v>
      </c>
      <c r="C1060" t="s">
        <v>49</v>
      </c>
      <c r="D1060">
        <f>VLOOKUP(C1060,成本价!$C$2:$D$83,2,0)*H1060</f>
        <v>1.975</v>
      </c>
      <c r="E1060">
        <v>10.09</v>
      </c>
      <c r="F1060">
        <v>2.7</v>
      </c>
      <c r="G1060">
        <f t="shared" si="19"/>
        <v>8.115</v>
      </c>
      <c r="H1060">
        <v>1</v>
      </c>
    </row>
    <row r="1061" spans="2:8">
      <c r="B1061" s="3">
        <v>45620</v>
      </c>
      <c r="C1061" t="s">
        <v>12</v>
      </c>
      <c r="D1061">
        <f>VLOOKUP(C1061,成本价!$C$2:$D$83,2,0)*H1061</f>
        <v>0.774</v>
      </c>
      <c r="G1061">
        <f t="shared" si="19"/>
        <v>-0.774</v>
      </c>
      <c r="H1061">
        <v>2</v>
      </c>
    </row>
    <row r="1062" spans="2:8">
      <c r="B1062" s="3">
        <v>45620</v>
      </c>
      <c r="C1062" t="s">
        <v>36</v>
      </c>
      <c r="D1062">
        <f>VLOOKUP(C1062,成本价!$C$2:$D$83,2,0)*H1062</f>
        <v>2.32</v>
      </c>
      <c r="E1062">
        <v>8.3</v>
      </c>
      <c r="F1062">
        <v>2.7</v>
      </c>
      <c r="G1062">
        <f t="shared" si="19"/>
        <v>5.98</v>
      </c>
      <c r="H1062">
        <v>1</v>
      </c>
    </row>
    <row r="1063" spans="2:8">
      <c r="B1063" s="3">
        <v>45620</v>
      </c>
      <c r="C1063" t="s">
        <v>78</v>
      </c>
      <c r="D1063">
        <f>VLOOKUP(C1063,成本价!$C$2:$D$83,2,0)*H1063</f>
        <v>0.1728</v>
      </c>
      <c r="E1063">
        <v>4.93</v>
      </c>
      <c r="F1063">
        <v>2.7</v>
      </c>
      <c r="G1063">
        <f t="shared" si="19"/>
        <v>4.7572</v>
      </c>
      <c r="H1063">
        <v>1</v>
      </c>
    </row>
    <row r="1064" spans="2:8">
      <c r="B1064" s="3">
        <v>45620</v>
      </c>
      <c r="C1064" t="s">
        <v>57</v>
      </c>
      <c r="D1064">
        <f>VLOOKUP(C1064,成本价!$C$2:$D$83,2,0)*H1064</f>
        <v>8.9</v>
      </c>
      <c r="E1064">
        <v>28</v>
      </c>
      <c r="F1064">
        <v>2.7</v>
      </c>
      <c r="G1064">
        <f t="shared" ref="G1064:G1116" si="20">E1064-D1064</f>
        <v>19.1</v>
      </c>
      <c r="H1064">
        <v>1</v>
      </c>
    </row>
    <row r="1065" spans="2:8">
      <c r="B1065" s="3">
        <v>45620</v>
      </c>
      <c r="C1065" t="s">
        <v>55</v>
      </c>
      <c r="D1065">
        <f>VLOOKUP(C1065,成本价!$C$2:$D$83,2,0)*H1065</f>
        <v>3.513</v>
      </c>
      <c r="E1065">
        <v>13.09</v>
      </c>
      <c r="F1065">
        <v>2.7</v>
      </c>
      <c r="G1065">
        <f t="shared" si="20"/>
        <v>9.577</v>
      </c>
      <c r="H1065">
        <v>3</v>
      </c>
    </row>
    <row r="1066" spans="2:8">
      <c r="B1066" s="3">
        <v>45620</v>
      </c>
      <c r="C1066" t="s">
        <v>58</v>
      </c>
      <c r="D1066">
        <f>VLOOKUP(C1066,成本价!$C$2:$D$83,2,0)*H1066</f>
        <v>8.4</v>
      </c>
      <c r="E1066">
        <v>18.24</v>
      </c>
      <c r="F1066">
        <v>2.7</v>
      </c>
      <c r="G1066">
        <f t="shared" si="20"/>
        <v>9.84</v>
      </c>
      <c r="H1066">
        <v>1</v>
      </c>
    </row>
    <row r="1067" spans="2:8">
      <c r="B1067" s="3">
        <v>45620</v>
      </c>
      <c r="C1067" t="s">
        <v>50</v>
      </c>
      <c r="D1067">
        <f>VLOOKUP(C1067,成本价!$C$2:$D$83,2,0)*H1067</f>
        <v>2.749</v>
      </c>
      <c r="E1067">
        <v>11.37</v>
      </c>
      <c r="F1067">
        <v>2.7</v>
      </c>
      <c r="G1067">
        <f t="shared" si="20"/>
        <v>8.621</v>
      </c>
      <c r="H1067">
        <v>1</v>
      </c>
    </row>
    <row r="1068" spans="2:8">
      <c r="B1068" s="3">
        <v>45620</v>
      </c>
      <c r="C1068" t="s">
        <v>12</v>
      </c>
      <c r="D1068">
        <f>VLOOKUP(C1068,成本价!$C$2:$D$83,2,0)*H1068</f>
        <v>2.322</v>
      </c>
      <c r="E1068">
        <v>10.12</v>
      </c>
      <c r="F1068">
        <v>2.7</v>
      </c>
      <c r="G1068">
        <f t="shared" si="20"/>
        <v>7.798</v>
      </c>
      <c r="H1068">
        <v>6</v>
      </c>
    </row>
    <row r="1069" spans="2:8">
      <c r="B1069" s="3">
        <v>45620</v>
      </c>
      <c r="C1069" t="s">
        <v>78</v>
      </c>
      <c r="D1069">
        <f>VLOOKUP(C1069,成本价!$C$2:$D$83,2,0)*H1069</f>
        <v>0.1728</v>
      </c>
      <c r="E1069">
        <v>4.93</v>
      </c>
      <c r="F1069">
        <v>2.7</v>
      </c>
      <c r="G1069">
        <f t="shared" si="20"/>
        <v>4.7572</v>
      </c>
      <c r="H1069">
        <v>1</v>
      </c>
    </row>
    <row r="1070" spans="2:8">
      <c r="B1070" s="3">
        <v>45620</v>
      </c>
      <c r="C1070" t="s">
        <v>64</v>
      </c>
      <c r="D1070">
        <f>VLOOKUP(C1070,成本价!$C$2:$D$83,2,0)*H1070</f>
        <v>6.38</v>
      </c>
      <c r="E1070">
        <v>16.8</v>
      </c>
      <c r="F1070">
        <v>2.7</v>
      </c>
      <c r="G1070">
        <f t="shared" si="20"/>
        <v>10.42</v>
      </c>
      <c r="H1070">
        <v>1</v>
      </c>
    </row>
    <row r="1071" spans="2:8">
      <c r="B1071" s="3">
        <v>45620</v>
      </c>
      <c r="C1071" t="s">
        <v>56</v>
      </c>
      <c r="D1071">
        <f>VLOOKUP(C1071,成本价!$C$2:$D$83,2,0)*H1071</f>
        <v>3.483</v>
      </c>
      <c r="E1071">
        <v>13.1</v>
      </c>
      <c r="F1071">
        <v>2.7</v>
      </c>
      <c r="G1071">
        <f t="shared" si="20"/>
        <v>9.617</v>
      </c>
      <c r="H1071">
        <v>3</v>
      </c>
    </row>
    <row r="1072" spans="2:8">
      <c r="B1072" s="3">
        <v>45620</v>
      </c>
      <c r="C1072" t="s">
        <v>79</v>
      </c>
      <c r="D1072">
        <f>VLOOKUP(C1072,成本价!$C$2:$D$83,2,0)*H1072</f>
        <v>12.3</v>
      </c>
      <c r="E1072">
        <v>31.03</v>
      </c>
      <c r="F1072">
        <v>2.7</v>
      </c>
      <c r="G1072">
        <f t="shared" si="20"/>
        <v>18.73</v>
      </c>
      <c r="H1072">
        <v>1</v>
      </c>
    </row>
    <row r="1073" spans="2:8">
      <c r="B1073" s="3">
        <v>45620</v>
      </c>
      <c r="C1073" t="s">
        <v>77</v>
      </c>
      <c r="D1073">
        <f>VLOOKUP(C1073,成本价!$C$2:$D$83,2,0)*H1073</f>
        <v>0.4032</v>
      </c>
      <c r="E1073">
        <v>7.83</v>
      </c>
      <c r="F1073">
        <v>2.7</v>
      </c>
      <c r="G1073">
        <f t="shared" si="20"/>
        <v>7.4268</v>
      </c>
      <c r="H1073">
        <v>1</v>
      </c>
    </row>
    <row r="1074" spans="2:8">
      <c r="B1074" s="3">
        <v>45620</v>
      </c>
      <c r="C1074" t="s">
        <v>54</v>
      </c>
      <c r="D1074">
        <f>VLOOKUP(C1074,成本价!$C$2:$D$83,2,0)*H1074</f>
        <v>14.7</v>
      </c>
      <c r="E1074">
        <v>26.79</v>
      </c>
      <c r="F1074">
        <v>2.7</v>
      </c>
      <c r="G1074">
        <f t="shared" si="20"/>
        <v>12.09</v>
      </c>
      <c r="H1074">
        <v>1</v>
      </c>
    </row>
    <row r="1075" spans="2:8">
      <c r="B1075" s="3">
        <v>45620</v>
      </c>
      <c r="C1075" t="s">
        <v>49</v>
      </c>
      <c r="D1075">
        <f>VLOOKUP(C1075,成本价!$C$2:$D$83,2,0)*H1075</f>
        <v>1.975</v>
      </c>
      <c r="E1075">
        <v>10.12</v>
      </c>
      <c r="F1075">
        <v>2.7</v>
      </c>
      <c r="G1075">
        <f t="shared" si="20"/>
        <v>8.145</v>
      </c>
      <c r="H1075">
        <v>1</v>
      </c>
    </row>
    <row r="1076" spans="2:8">
      <c r="B1076" s="3">
        <v>45620</v>
      </c>
      <c r="C1076" t="s">
        <v>12</v>
      </c>
      <c r="D1076">
        <f>VLOOKUP(C1076,成本价!$C$2:$D$83,2,0)*H1076</f>
        <v>0.774</v>
      </c>
      <c r="G1076">
        <f t="shared" si="20"/>
        <v>-0.774</v>
      </c>
      <c r="H1076">
        <v>2</v>
      </c>
    </row>
    <row r="1077" spans="2:8">
      <c r="B1077" s="3">
        <v>45620</v>
      </c>
      <c r="C1077" t="s">
        <v>50</v>
      </c>
      <c r="D1077">
        <f>VLOOKUP(C1077,成本价!$C$2:$D$83,2,0)*H1077</f>
        <v>2.749</v>
      </c>
      <c r="G1077">
        <f t="shared" si="20"/>
        <v>-2.749</v>
      </c>
      <c r="H1077">
        <v>1</v>
      </c>
    </row>
    <row r="1078" spans="2:10">
      <c r="B1078" s="3">
        <v>45620</v>
      </c>
      <c r="C1078" t="s">
        <v>57</v>
      </c>
      <c r="D1078">
        <f>VLOOKUP(C1078,成本价!$C$2:$D$83,2,0)*H1078</f>
        <v>8.9</v>
      </c>
      <c r="E1078">
        <v>21.5</v>
      </c>
      <c r="F1078">
        <v>2.7</v>
      </c>
      <c r="G1078">
        <f t="shared" si="20"/>
        <v>12.6</v>
      </c>
      <c r="H1078">
        <v>1</v>
      </c>
      <c r="J1078" s="2" t="s">
        <v>74</v>
      </c>
    </row>
    <row r="1079" spans="2:10">
      <c r="B1079" s="3">
        <v>45620</v>
      </c>
      <c r="C1079" t="s">
        <v>33</v>
      </c>
      <c r="D1079">
        <f>VLOOKUP(C1079,成本价!$C$2:$D$83,2,0)*H1079</f>
        <v>1.7</v>
      </c>
      <c r="E1079">
        <v>6.51</v>
      </c>
      <c r="F1079">
        <v>2.7</v>
      </c>
      <c r="G1079">
        <f t="shared" si="20"/>
        <v>4.81</v>
      </c>
      <c r="H1079">
        <v>1</v>
      </c>
      <c r="J1079" s="2" t="s">
        <v>74</v>
      </c>
    </row>
    <row r="1080" spans="2:10">
      <c r="B1080" s="3">
        <v>45620</v>
      </c>
      <c r="C1080" t="s">
        <v>84</v>
      </c>
      <c r="D1080">
        <f>VLOOKUP(C1080,成本价!$C$2:$D$83,2,0)*H1080</f>
        <v>7.62</v>
      </c>
      <c r="E1080">
        <v>18.29</v>
      </c>
      <c r="F1080">
        <v>2.7</v>
      </c>
      <c r="G1080">
        <f t="shared" si="20"/>
        <v>10.67</v>
      </c>
      <c r="H1080">
        <v>1</v>
      </c>
      <c r="J1080" s="2" t="s">
        <v>74</v>
      </c>
    </row>
    <row r="1081" spans="2:10">
      <c r="B1081" s="3">
        <v>45620</v>
      </c>
      <c r="C1081" t="s">
        <v>28</v>
      </c>
      <c r="D1081">
        <f>VLOOKUP(C1081,成本价!$C$2:$D$83,2,0)*H1081</f>
        <v>4.44</v>
      </c>
      <c r="E1081">
        <v>13.95</v>
      </c>
      <c r="F1081">
        <v>2.7</v>
      </c>
      <c r="G1081">
        <f t="shared" si="20"/>
        <v>9.51</v>
      </c>
      <c r="H1081">
        <v>2</v>
      </c>
      <c r="J1081" s="2" t="s">
        <v>74</v>
      </c>
    </row>
    <row r="1082" spans="2:10">
      <c r="B1082" s="3">
        <v>45620</v>
      </c>
      <c r="C1082" t="s">
        <v>23</v>
      </c>
      <c r="D1082">
        <f>VLOOKUP(C1082,成本价!$C$2:$D$83,2,0)*H1082</f>
        <v>2.08</v>
      </c>
      <c r="E1082">
        <v>28.11</v>
      </c>
      <c r="F1082">
        <v>2.7</v>
      </c>
      <c r="G1082">
        <f t="shared" si="20"/>
        <v>26.03</v>
      </c>
      <c r="H1082">
        <v>1</v>
      </c>
      <c r="J1082" s="2" t="s">
        <v>74</v>
      </c>
    </row>
    <row r="1083" spans="2:10">
      <c r="B1083" s="3">
        <v>45620</v>
      </c>
      <c r="C1083" t="s">
        <v>52</v>
      </c>
      <c r="D1083">
        <f>VLOOKUP(C1083,成本价!$C$2:$D$83,2,0)*H1083</f>
        <v>10.96</v>
      </c>
      <c r="E1083">
        <v>0</v>
      </c>
      <c r="F1083">
        <v>0</v>
      </c>
      <c r="G1083">
        <f t="shared" si="20"/>
        <v>-10.96</v>
      </c>
      <c r="H1083">
        <v>1</v>
      </c>
      <c r="J1083" s="2" t="s">
        <v>74</v>
      </c>
    </row>
    <row r="1084" spans="2:9">
      <c r="B1084" s="3">
        <v>45620</v>
      </c>
      <c r="I1084">
        <v>142.64</v>
      </c>
    </row>
    <row r="1085" spans="2:8">
      <c r="B1085" s="29">
        <v>45621</v>
      </c>
      <c r="C1085" t="s">
        <v>63</v>
      </c>
      <c r="D1085">
        <f>VLOOKUP(C1085,成本价!$C$2:$D$83,2,0)*H1085</f>
        <v>5.1</v>
      </c>
      <c r="E1085">
        <v>16.2</v>
      </c>
      <c r="F1085">
        <v>2.7</v>
      </c>
      <c r="G1085">
        <f t="shared" si="20"/>
        <v>11.1</v>
      </c>
      <c r="H1085">
        <v>1</v>
      </c>
    </row>
    <row r="1086" spans="2:8">
      <c r="B1086" s="3">
        <v>45621</v>
      </c>
      <c r="C1086" t="s">
        <v>55</v>
      </c>
      <c r="D1086">
        <f>VLOOKUP(C1086,成本价!$C$2:$D$83,2,0)*H1086</f>
        <v>3.513</v>
      </c>
      <c r="E1086">
        <v>13.1</v>
      </c>
      <c r="F1086">
        <v>2.7</v>
      </c>
      <c r="G1086">
        <f t="shared" si="20"/>
        <v>9.587</v>
      </c>
      <c r="H1086">
        <v>3</v>
      </c>
    </row>
    <row r="1087" spans="2:8">
      <c r="B1087" s="3">
        <v>45621</v>
      </c>
      <c r="C1087" t="s">
        <v>56</v>
      </c>
      <c r="D1087">
        <f>VLOOKUP(C1087,成本价!$C$2:$D$83,2,0)*H1087</f>
        <v>3.483</v>
      </c>
      <c r="E1087">
        <v>13.1</v>
      </c>
      <c r="F1087">
        <v>2.7</v>
      </c>
      <c r="G1087">
        <f t="shared" si="20"/>
        <v>9.617</v>
      </c>
      <c r="H1087">
        <v>3</v>
      </c>
    </row>
    <row r="1088" spans="2:8">
      <c r="B1088" s="3">
        <v>45621</v>
      </c>
      <c r="C1088" t="s">
        <v>76</v>
      </c>
      <c r="D1088">
        <f>VLOOKUP(C1088,成本价!$C$2:$D$83,2,0)*H1088</f>
        <v>1.7856</v>
      </c>
      <c r="E1088">
        <v>15.5</v>
      </c>
      <c r="F1088">
        <v>2.7</v>
      </c>
      <c r="G1088">
        <f t="shared" si="20"/>
        <v>13.7144</v>
      </c>
      <c r="H1088">
        <v>1</v>
      </c>
    </row>
    <row r="1089" spans="2:8">
      <c r="B1089" s="3">
        <v>45621</v>
      </c>
      <c r="C1089" t="s">
        <v>50</v>
      </c>
      <c r="D1089">
        <f>VLOOKUP(C1089,成本价!$C$2:$D$83,2,0)*H1089</f>
        <v>2.749</v>
      </c>
      <c r="E1089">
        <v>11.37</v>
      </c>
      <c r="F1089">
        <v>2.7</v>
      </c>
      <c r="G1089">
        <f t="shared" si="20"/>
        <v>8.621</v>
      </c>
      <c r="H1089">
        <v>1</v>
      </c>
    </row>
    <row r="1090" spans="2:8">
      <c r="B1090" s="3">
        <v>45621</v>
      </c>
      <c r="C1090" t="s">
        <v>59</v>
      </c>
      <c r="D1090">
        <f>VLOOKUP(C1090,成本价!$C$2:$D$83,2,0)*H1090</f>
        <v>8.7</v>
      </c>
      <c r="E1090">
        <v>26.4</v>
      </c>
      <c r="F1090">
        <v>2.7</v>
      </c>
      <c r="G1090">
        <f t="shared" si="20"/>
        <v>17.7</v>
      </c>
      <c r="H1090">
        <v>1</v>
      </c>
    </row>
    <row r="1091" spans="2:8">
      <c r="B1091" s="3">
        <v>45621</v>
      </c>
      <c r="C1091" t="s">
        <v>80</v>
      </c>
      <c r="D1091">
        <f>VLOOKUP(C1091,成本价!$C$2:$D$83,2,0)*H1091</f>
        <v>8.1</v>
      </c>
      <c r="E1091">
        <v>17.79</v>
      </c>
      <c r="F1091">
        <v>2.7</v>
      </c>
      <c r="G1091">
        <f t="shared" si="20"/>
        <v>9.69</v>
      </c>
      <c r="H1091">
        <v>1</v>
      </c>
    </row>
    <row r="1092" spans="2:8">
      <c r="B1092" s="3">
        <v>45621</v>
      </c>
      <c r="C1092" t="s">
        <v>50</v>
      </c>
      <c r="D1092">
        <f>VLOOKUP(C1092,成本价!$C$2:$D$83,2,0)*H1092</f>
        <v>2.749</v>
      </c>
      <c r="E1092">
        <v>11.37</v>
      </c>
      <c r="F1092">
        <v>2.7</v>
      </c>
      <c r="G1092">
        <f t="shared" si="20"/>
        <v>8.621</v>
      </c>
      <c r="H1092">
        <v>1</v>
      </c>
    </row>
    <row r="1093" spans="2:8">
      <c r="B1093" s="3">
        <v>45621</v>
      </c>
      <c r="C1093" t="s">
        <v>52</v>
      </c>
      <c r="D1093">
        <f>VLOOKUP(C1093,成本价!$C$2:$D$83,2,0)*H1093</f>
        <v>10.96</v>
      </c>
      <c r="E1093">
        <v>26</v>
      </c>
      <c r="F1093">
        <v>3.5</v>
      </c>
      <c r="G1093">
        <f t="shared" si="20"/>
        <v>15.04</v>
      </c>
      <c r="H1093">
        <v>1</v>
      </c>
    </row>
    <row r="1094" spans="2:8">
      <c r="B1094" s="3">
        <v>45621</v>
      </c>
      <c r="C1094" t="s">
        <v>63</v>
      </c>
      <c r="D1094">
        <f>VLOOKUP(C1094,成本价!$C$2:$D$83,2,0)*H1094</f>
        <v>5.1</v>
      </c>
      <c r="E1094">
        <v>16.2</v>
      </c>
      <c r="F1094">
        <v>3.5</v>
      </c>
      <c r="G1094">
        <f t="shared" si="20"/>
        <v>11.1</v>
      </c>
      <c r="H1094">
        <v>1</v>
      </c>
    </row>
    <row r="1095" spans="2:8">
      <c r="B1095" s="3">
        <v>45621</v>
      </c>
      <c r="C1095" t="s">
        <v>23</v>
      </c>
      <c r="D1095">
        <f>VLOOKUP(C1095,成本价!$C$2:$D$83,2,0)*H1095</f>
        <v>2.08</v>
      </c>
      <c r="E1095">
        <v>6.83</v>
      </c>
      <c r="F1095">
        <v>3.5</v>
      </c>
      <c r="G1095">
        <f t="shared" si="20"/>
        <v>4.75</v>
      </c>
      <c r="H1095">
        <v>1</v>
      </c>
    </row>
    <row r="1096" spans="2:8">
      <c r="B1096" s="3">
        <v>45621</v>
      </c>
      <c r="C1096" t="s">
        <v>27</v>
      </c>
      <c r="D1096">
        <f>VLOOKUP(C1096,成本价!$C$2:$D$83,2,0)*H1096</f>
        <v>1.8</v>
      </c>
      <c r="E1096">
        <v>5.93</v>
      </c>
      <c r="F1096">
        <v>3.5</v>
      </c>
      <c r="G1096">
        <f t="shared" si="20"/>
        <v>4.13</v>
      </c>
      <c r="H1096">
        <v>1</v>
      </c>
    </row>
    <row r="1097" spans="2:8">
      <c r="B1097" s="3">
        <v>45621</v>
      </c>
      <c r="C1097" t="s">
        <v>55</v>
      </c>
      <c r="D1097">
        <f>VLOOKUP(C1097,成本价!$C$2:$D$83,2,0)*H1097</f>
        <v>3.513</v>
      </c>
      <c r="E1097">
        <v>12</v>
      </c>
      <c r="F1097">
        <v>3.5</v>
      </c>
      <c r="G1097">
        <f t="shared" si="20"/>
        <v>8.487</v>
      </c>
      <c r="H1097">
        <v>3</v>
      </c>
    </row>
    <row r="1098" spans="2:8">
      <c r="B1098" s="3">
        <v>45621</v>
      </c>
      <c r="C1098" t="s">
        <v>37</v>
      </c>
      <c r="D1098">
        <f>VLOOKUP(C1098,成本价!$C$2:$D$83,2,0)*H1098</f>
        <v>2.54</v>
      </c>
      <c r="E1098">
        <v>8.3</v>
      </c>
      <c r="F1098">
        <v>3.5</v>
      </c>
      <c r="G1098">
        <f t="shared" si="20"/>
        <v>5.76</v>
      </c>
      <c r="H1098">
        <v>1</v>
      </c>
    </row>
    <row r="1099" spans="2:8">
      <c r="B1099" s="3">
        <v>45621</v>
      </c>
      <c r="C1099" t="s">
        <v>16</v>
      </c>
      <c r="D1099">
        <f>VLOOKUP(C1099,成本价!$C$2:$D$83,2,0)*H1099</f>
        <v>2.7</v>
      </c>
      <c r="E1099">
        <v>17.88</v>
      </c>
      <c r="F1099">
        <v>3.5</v>
      </c>
      <c r="G1099">
        <f t="shared" si="20"/>
        <v>15.18</v>
      </c>
      <c r="H1099">
        <v>1</v>
      </c>
    </row>
    <row r="1100" spans="2:8">
      <c r="B1100" s="3">
        <v>45621</v>
      </c>
      <c r="C1100" t="s">
        <v>20</v>
      </c>
      <c r="D1100">
        <f>VLOOKUP(C1100,成本价!$C$2:$D$83,2,0)*H1100</f>
        <v>3</v>
      </c>
      <c r="E1100">
        <v>0</v>
      </c>
      <c r="F1100">
        <v>0</v>
      </c>
      <c r="G1100">
        <f t="shared" si="20"/>
        <v>-3</v>
      </c>
      <c r="H1100">
        <v>1</v>
      </c>
    </row>
    <row r="1101" spans="2:8">
      <c r="B1101" s="3">
        <v>45621</v>
      </c>
      <c r="C1101" t="s">
        <v>76</v>
      </c>
      <c r="D1101">
        <f>VLOOKUP(C1101,成本价!$C$2:$D$83,2,0)*H1101</f>
        <v>1.7856</v>
      </c>
      <c r="E1101">
        <v>13.21</v>
      </c>
      <c r="F1101">
        <v>3.5</v>
      </c>
      <c r="G1101">
        <f t="shared" si="20"/>
        <v>11.4244</v>
      </c>
      <c r="H1101">
        <v>1</v>
      </c>
    </row>
    <row r="1102" spans="2:8">
      <c r="B1102" s="3">
        <v>45621</v>
      </c>
      <c r="C1102" t="s">
        <v>16</v>
      </c>
      <c r="D1102">
        <f>VLOOKUP(C1102,成本价!$C$2:$D$83,2,0)*H1102</f>
        <v>5.4</v>
      </c>
      <c r="E1102">
        <v>25.99</v>
      </c>
      <c r="F1102">
        <v>3.5</v>
      </c>
      <c r="G1102">
        <f t="shared" si="20"/>
        <v>20.59</v>
      </c>
      <c r="H1102">
        <v>2</v>
      </c>
    </row>
    <row r="1103" spans="2:8">
      <c r="B1103" s="3">
        <v>45621</v>
      </c>
      <c r="C1103" t="s">
        <v>20</v>
      </c>
      <c r="D1103">
        <f>VLOOKUP(C1103,成本价!$C$2:$D$83,2,0)*H1103</f>
        <v>9</v>
      </c>
      <c r="E1103">
        <v>0</v>
      </c>
      <c r="F1103">
        <v>0</v>
      </c>
      <c r="G1103">
        <f t="shared" si="20"/>
        <v>-9</v>
      </c>
      <c r="H1103">
        <v>3</v>
      </c>
    </row>
    <row r="1104" spans="2:8">
      <c r="B1104" s="3">
        <v>45621</v>
      </c>
      <c r="C1104" t="s">
        <v>76</v>
      </c>
      <c r="D1104">
        <f>VLOOKUP(C1104,成本价!$C$2:$D$83,2,0)*H1104</f>
        <v>1.7856</v>
      </c>
      <c r="E1104">
        <v>13.21</v>
      </c>
      <c r="F1104">
        <v>3.5</v>
      </c>
      <c r="G1104">
        <f t="shared" si="20"/>
        <v>11.4244</v>
      </c>
      <c r="H1104">
        <v>1</v>
      </c>
    </row>
    <row r="1105" spans="2:8">
      <c r="B1105" s="3">
        <v>45621</v>
      </c>
      <c r="C1105" t="s">
        <v>50</v>
      </c>
      <c r="D1105">
        <f>VLOOKUP(C1105,成本价!$C$2:$D$83,2,0)*H1105</f>
        <v>5.498</v>
      </c>
      <c r="E1105">
        <v>20.76</v>
      </c>
      <c r="F1105">
        <v>3.5</v>
      </c>
      <c r="G1105">
        <f t="shared" si="20"/>
        <v>15.262</v>
      </c>
      <c r="H1105">
        <v>2</v>
      </c>
    </row>
    <row r="1106" spans="2:8">
      <c r="B1106" s="3">
        <v>45621</v>
      </c>
      <c r="C1106" t="s">
        <v>12</v>
      </c>
      <c r="D1106">
        <f>VLOOKUP(C1106,成本价!$C$2:$D$83,2,0)*H1106</f>
        <v>0.774</v>
      </c>
      <c r="G1106">
        <f t="shared" si="20"/>
        <v>-0.774</v>
      </c>
      <c r="H1106">
        <v>2</v>
      </c>
    </row>
    <row r="1107" spans="2:10">
      <c r="B1107" s="3">
        <v>45621</v>
      </c>
      <c r="C1107" t="s">
        <v>67</v>
      </c>
      <c r="D1107">
        <f>VLOOKUP(C1107,成本价!$C$2:$D$83,2,0)*H1107</f>
        <v>6.52</v>
      </c>
      <c r="E1107">
        <v>17.3</v>
      </c>
      <c r="F1107">
        <v>3.5</v>
      </c>
      <c r="G1107">
        <f t="shared" si="20"/>
        <v>10.78</v>
      </c>
      <c r="H1107">
        <v>1</v>
      </c>
      <c r="J1107" s="2" t="s">
        <v>74</v>
      </c>
    </row>
    <row r="1108" spans="2:10">
      <c r="B1108" s="3">
        <v>45621</v>
      </c>
      <c r="C1108" t="s">
        <v>23</v>
      </c>
      <c r="D1108">
        <f>VLOOKUP(C1108,成本价!$C$2:$D$83,2,0)*H1108</f>
        <v>2.08</v>
      </c>
      <c r="E1108">
        <v>6.89</v>
      </c>
      <c r="F1108">
        <v>3.5</v>
      </c>
      <c r="G1108">
        <f t="shared" si="20"/>
        <v>4.81</v>
      </c>
      <c r="H1108">
        <v>1</v>
      </c>
      <c r="J1108" s="2" t="s">
        <v>74</v>
      </c>
    </row>
    <row r="1109" spans="2:9">
      <c r="B1109" s="3">
        <v>45621</v>
      </c>
      <c r="I1109">
        <v>117.67</v>
      </c>
    </row>
    <row r="1110" spans="2:8">
      <c r="B1110" s="29">
        <v>45622</v>
      </c>
      <c r="C1110" t="s">
        <v>55</v>
      </c>
      <c r="D1110">
        <f>VLOOKUP(C1110,成本价!$C$2:$D$83,2,0)*H1110</f>
        <v>3.513</v>
      </c>
      <c r="E1110">
        <v>12</v>
      </c>
      <c r="F1110">
        <v>3.5</v>
      </c>
      <c r="G1110">
        <f t="shared" si="20"/>
        <v>8.487</v>
      </c>
      <c r="H1110">
        <v>3</v>
      </c>
    </row>
    <row r="1111" spans="2:8">
      <c r="B1111" s="3">
        <v>45622</v>
      </c>
      <c r="C1111" t="s">
        <v>55</v>
      </c>
      <c r="D1111">
        <f>VLOOKUP(C1111,成本价!$C$2:$D$83,2,0)*H1111</f>
        <v>3.513</v>
      </c>
      <c r="E1111">
        <v>12</v>
      </c>
      <c r="F1111">
        <v>3.5</v>
      </c>
      <c r="G1111">
        <f t="shared" si="20"/>
        <v>8.487</v>
      </c>
      <c r="H1111">
        <v>3</v>
      </c>
    </row>
    <row r="1112" spans="2:8">
      <c r="B1112" s="3">
        <v>45622</v>
      </c>
      <c r="C1112" t="s">
        <v>77</v>
      </c>
      <c r="D1112">
        <f>VLOOKUP(C1112,成本价!$C$2:$D$83,2,0)*H1112</f>
        <v>0.4032</v>
      </c>
      <c r="E1112">
        <v>6.58</v>
      </c>
      <c r="F1112">
        <v>3.5</v>
      </c>
      <c r="G1112">
        <f t="shared" si="20"/>
        <v>6.1768</v>
      </c>
      <c r="H1112">
        <v>1</v>
      </c>
    </row>
    <row r="1113" spans="2:8">
      <c r="B1113" s="3">
        <v>45622</v>
      </c>
      <c r="C1113" t="s">
        <v>53</v>
      </c>
      <c r="D1113">
        <f>VLOOKUP(C1113,成本价!$C$2:$D$83,2,0)*H1113</f>
        <v>9.68</v>
      </c>
      <c r="E1113">
        <v>31.04</v>
      </c>
      <c r="F1113">
        <v>3.5</v>
      </c>
      <c r="G1113">
        <f t="shared" si="20"/>
        <v>21.36</v>
      </c>
      <c r="H1113">
        <v>1</v>
      </c>
    </row>
    <row r="1114" spans="2:8">
      <c r="B1114" s="3">
        <v>45622</v>
      </c>
      <c r="C1114" t="s">
        <v>76</v>
      </c>
      <c r="D1114">
        <f>VLOOKUP(C1114,成本价!$C$2:$D$83,2,0)*H1114</f>
        <v>1.7856</v>
      </c>
      <c r="E1114">
        <v>13.21</v>
      </c>
      <c r="F1114">
        <v>3.5</v>
      </c>
      <c r="G1114">
        <f t="shared" si="20"/>
        <v>11.4244</v>
      </c>
      <c r="H1114">
        <v>1</v>
      </c>
    </row>
    <row r="1115" spans="2:8">
      <c r="B1115" s="3">
        <v>45622</v>
      </c>
      <c r="C1115" t="s">
        <v>55</v>
      </c>
      <c r="D1115">
        <f>VLOOKUP(C1115,成本价!$C$2:$D$83,2,0)*H1115</f>
        <v>3.513</v>
      </c>
      <c r="E1115">
        <v>12</v>
      </c>
      <c r="F1115">
        <v>3.5</v>
      </c>
      <c r="G1115">
        <f t="shared" si="20"/>
        <v>8.487</v>
      </c>
      <c r="H1115">
        <v>3</v>
      </c>
    </row>
    <row r="1116" spans="2:8">
      <c r="B1116" s="3">
        <v>45622</v>
      </c>
      <c r="C1116" t="s">
        <v>71</v>
      </c>
      <c r="D1116">
        <f>VLOOKUP(C1116,成本价!$C$2:$D$83,2,0)*H1116</f>
        <v>3.573</v>
      </c>
      <c r="E1116">
        <v>13.2</v>
      </c>
      <c r="F1116">
        <v>3.5</v>
      </c>
      <c r="G1116">
        <f t="shared" si="20"/>
        <v>9.627</v>
      </c>
      <c r="H1116">
        <v>3</v>
      </c>
    </row>
    <row r="1117" spans="2:8">
      <c r="B1117" s="3">
        <v>45622</v>
      </c>
      <c r="C1117" t="s">
        <v>44</v>
      </c>
      <c r="D1117">
        <f>VLOOKUP(C1117,成本价!$C$2:$D$83,2,0)*H1117</f>
        <v>0.397</v>
      </c>
      <c r="G1117">
        <f t="shared" ref="G1117:G1176" si="21">E1117-D1117</f>
        <v>-0.397</v>
      </c>
      <c r="H1117">
        <v>1</v>
      </c>
    </row>
    <row r="1118" spans="2:8">
      <c r="B1118" s="3">
        <v>45622</v>
      </c>
      <c r="C1118" t="s">
        <v>78</v>
      </c>
      <c r="D1118">
        <f>VLOOKUP(C1118,成本价!$C$2:$D$83,2,0)*H1118</f>
        <v>0.1728</v>
      </c>
      <c r="E1118">
        <v>4.93</v>
      </c>
      <c r="F1118">
        <v>3.5</v>
      </c>
      <c r="G1118">
        <f t="shared" si="21"/>
        <v>4.7572</v>
      </c>
      <c r="H1118">
        <v>1</v>
      </c>
    </row>
    <row r="1119" spans="2:8">
      <c r="B1119" s="3">
        <v>45622</v>
      </c>
      <c r="C1119" t="s">
        <v>55</v>
      </c>
      <c r="D1119">
        <f>VLOOKUP(C1119,成本价!$C$2:$D$83,2,0)*H1119</f>
        <v>3.513</v>
      </c>
      <c r="E1119">
        <v>12</v>
      </c>
      <c r="F1119">
        <v>3.5</v>
      </c>
      <c r="G1119">
        <f t="shared" si="21"/>
        <v>8.487</v>
      </c>
      <c r="H1119">
        <v>3</v>
      </c>
    </row>
    <row r="1120" spans="2:8">
      <c r="B1120" s="3">
        <v>45622</v>
      </c>
      <c r="C1120" t="s">
        <v>77</v>
      </c>
      <c r="D1120">
        <f>VLOOKUP(C1120,成本价!$C$2:$D$83,2,0)*H1120</f>
        <v>0.4032</v>
      </c>
      <c r="E1120">
        <v>6.58</v>
      </c>
      <c r="F1120">
        <v>3.5</v>
      </c>
      <c r="G1120">
        <f t="shared" si="21"/>
        <v>6.1768</v>
      </c>
      <c r="H1120">
        <v>1</v>
      </c>
    </row>
    <row r="1121" spans="2:8">
      <c r="B1121" s="3">
        <v>45622</v>
      </c>
      <c r="C1121" t="s">
        <v>85</v>
      </c>
      <c r="D1121">
        <f>VLOOKUP(C1121,成本价!$C$2:$D$83,2,0)*H1121</f>
        <v>2.1312</v>
      </c>
      <c r="E1121">
        <v>15.87</v>
      </c>
      <c r="F1121">
        <v>3.5</v>
      </c>
      <c r="G1121">
        <f t="shared" si="21"/>
        <v>13.7388</v>
      </c>
      <c r="H1121">
        <v>1</v>
      </c>
    </row>
    <row r="1122" spans="2:8">
      <c r="B1122" s="3">
        <v>45622</v>
      </c>
      <c r="C1122" t="s">
        <v>58</v>
      </c>
      <c r="D1122">
        <f>VLOOKUP(C1122,成本价!$C$2:$D$83,2,0)*H1122</f>
        <v>8.4</v>
      </c>
      <c r="E1122">
        <v>17.79</v>
      </c>
      <c r="F1122">
        <v>3.5</v>
      </c>
      <c r="G1122">
        <f t="shared" si="21"/>
        <v>9.39</v>
      </c>
      <c r="H1122">
        <v>1</v>
      </c>
    </row>
    <row r="1123" spans="2:8">
      <c r="B1123" s="3">
        <v>45622</v>
      </c>
      <c r="C1123" t="s">
        <v>76</v>
      </c>
      <c r="D1123">
        <f>VLOOKUP(C1123,成本价!$C$2:$D$83,2,0)*H1123</f>
        <v>1.7856</v>
      </c>
      <c r="E1123">
        <v>13.21</v>
      </c>
      <c r="F1123">
        <v>3.5</v>
      </c>
      <c r="G1123">
        <f t="shared" si="21"/>
        <v>11.4244</v>
      </c>
      <c r="H1123">
        <v>1</v>
      </c>
    </row>
    <row r="1124" spans="2:8">
      <c r="B1124" s="3">
        <v>45622</v>
      </c>
      <c r="C1124" t="s">
        <v>45</v>
      </c>
      <c r="D1124">
        <f>VLOOKUP(C1124,成本价!$C$2:$D$83,2,0)*H1124</f>
        <v>2.4</v>
      </c>
      <c r="E1124">
        <v>8.5</v>
      </c>
      <c r="F1124">
        <v>3.5</v>
      </c>
      <c r="G1124">
        <f t="shared" si="21"/>
        <v>6.1</v>
      </c>
      <c r="H1124">
        <v>1</v>
      </c>
    </row>
    <row r="1125" spans="2:8">
      <c r="B1125" s="3">
        <v>45622</v>
      </c>
      <c r="C1125" t="s">
        <v>33</v>
      </c>
      <c r="D1125">
        <f>VLOOKUP(C1125,成本价!$C$2:$D$83,2,0)*H1125</f>
        <v>10.2</v>
      </c>
      <c r="E1125">
        <f>6.5*2+6.9*2</f>
        <v>26.8</v>
      </c>
      <c r="F1125">
        <v>3.5</v>
      </c>
      <c r="G1125">
        <f t="shared" si="21"/>
        <v>16.6</v>
      </c>
      <c r="H1125">
        <f>1.5*4</f>
        <v>6</v>
      </c>
    </row>
    <row r="1126" spans="2:8">
      <c r="B1126" s="3">
        <v>45622</v>
      </c>
      <c r="C1126" t="s">
        <v>27</v>
      </c>
      <c r="D1126">
        <f>VLOOKUP(C1126,成本价!$C$2:$D$83,2,0)*H1126</f>
        <v>2.7</v>
      </c>
      <c r="E1126">
        <v>6.5</v>
      </c>
      <c r="F1126">
        <v>0</v>
      </c>
      <c r="G1126">
        <f t="shared" si="21"/>
        <v>3.8</v>
      </c>
      <c r="H1126">
        <v>1.5</v>
      </c>
    </row>
    <row r="1127" spans="2:8">
      <c r="B1127" s="3">
        <v>45622</v>
      </c>
      <c r="C1127" t="s">
        <v>86</v>
      </c>
      <c r="D1127">
        <f>VLOOKUP(C1127,成本价!$C$2:$D$83,2,0)*H1127</f>
        <v>4.1184</v>
      </c>
      <c r="E1127">
        <v>24.71</v>
      </c>
      <c r="F1127">
        <v>3.5</v>
      </c>
      <c r="G1127">
        <f t="shared" si="21"/>
        <v>20.5916</v>
      </c>
      <c r="H1127">
        <v>1</v>
      </c>
    </row>
    <row r="1128" spans="2:8">
      <c r="B1128" s="3">
        <v>45622</v>
      </c>
      <c r="C1128" t="s">
        <v>78</v>
      </c>
      <c r="D1128">
        <f>VLOOKUP(C1128,成本价!$C$2:$D$83,2,0)*H1128</f>
        <v>0.1728</v>
      </c>
      <c r="F1128">
        <v>0</v>
      </c>
      <c r="G1128">
        <f t="shared" si="21"/>
        <v>-0.1728</v>
      </c>
      <c r="H1128">
        <v>1</v>
      </c>
    </row>
    <row r="1129" spans="2:8">
      <c r="B1129" s="3">
        <v>45622</v>
      </c>
      <c r="C1129" t="s">
        <v>27</v>
      </c>
      <c r="D1129">
        <f>VLOOKUP(C1129,成本价!$C$2:$D$83,2,0)*H1129</f>
        <v>1.8</v>
      </c>
      <c r="E1129">
        <v>6.38</v>
      </c>
      <c r="F1129">
        <v>3.5</v>
      </c>
      <c r="G1129">
        <f t="shared" si="21"/>
        <v>4.58</v>
      </c>
      <c r="H1129">
        <v>1</v>
      </c>
    </row>
    <row r="1130" spans="2:8">
      <c r="B1130" s="3">
        <v>45622</v>
      </c>
      <c r="C1130" t="s">
        <v>49</v>
      </c>
      <c r="D1130">
        <f>VLOOKUP(C1130,成本价!$C$2:$D$83,2,0)*H1130</f>
        <v>1.975</v>
      </c>
      <c r="E1130">
        <v>10.13</v>
      </c>
      <c r="F1130">
        <v>3.5</v>
      </c>
      <c r="G1130">
        <f t="shared" si="21"/>
        <v>8.155</v>
      </c>
      <c r="H1130">
        <v>1</v>
      </c>
    </row>
    <row r="1131" spans="2:8">
      <c r="B1131" s="3">
        <v>45622</v>
      </c>
      <c r="C1131" t="s">
        <v>16</v>
      </c>
      <c r="D1131">
        <f>VLOOKUP(C1131,成本价!$C$2:$D$83,2,0)*H1131</f>
        <v>2.7</v>
      </c>
      <c r="E1131">
        <v>17.88</v>
      </c>
      <c r="F1131">
        <v>3.5</v>
      </c>
      <c r="G1131">
        <f t="shared" si="21"/>
        <v>15.18</v>
      </c>
      <c r="H1131">
        <v>1</v>
      </c>
    </row>
    <row r="1132" spans="2:8">
      <c r="B1132" s="3">
        <v>45622</v>
      </c>
      <c r="C1132" t="s">
        <v>20</v>
      </c>
      <c r="D1132">
        <f>VLOOKUP(C1132,成本价!$C$2:$D$83,2,0)*H1132</f>
        <v>6</v>
      </c>
      <c r="G1132">
        <f t="shared" si="21"/>
        <v>-6</v>
      </c>
      <c r="H1132">
        <v>2</v>
      </c>
    </row>
    <row r="1133" spans="2:8">
      <c r="B1133" s="3">
        <v>45622</v>
      </c>
      <c r="C1133" t="s">
        <v>70</v>
      </c>
      <c r="D1133">
        <f>VLOOKUP(C1133,成本价!$C$2:$D$83,2,0)*H1133</f>
        <v>13.72</v>
      </c>
      <c r="E1133">
        <v>40.7</v>
      </c>
      <c r="F1133">
        <v>3.5</v>
      </c>
      <c r="G1133">
        <f t="shared" si="21"/>
        <v>26.98</v>
      </c>
      <c r="H1133">
        <v>1</v>
      </c>
    </row>
    <row r="1134" spans="2:8">
      <c r="B1134" s="3">
        <v>45622</v>
      </c>
      <c r="C1134" t="s">
        <v>78</v>
      </c>
      <c r="D1134">
        <f>VLOOKUP(C1134,成本价!$C$2:$D$83,2,0)*H1134</f>
        <v>0.1728</v>
      </c>
      <c r="E1134">
        <v>4.93</v>
      </c>
      <c r="F1134">
        <v>3.5</v>
      </c>
      <c r="G1134">
        <f t="shared" si="21"/>
        <v>4.7572</v>
      </c>
      <c r="H1134">
        <v>1</v>
      </c>
    </row>
    <row r="1135" spans="2:8">
      <c r="B1135" s="3">
        <v>45622</v>
      </c>
      <c r="C1135" t="s">
        <v>49</v>
      </c>
      <c r="D1135">
        <f>VLOOKUP(C1135,成本价!$C$2:$D$83,2,0)*H1135</f>
        <v>1.975</v>
      </c>
      <c r="E1135">
        <v>10.13</v>
      </c>
      <c r="F1135">
        <v>3.5</v>
      </c>
      <c r="G1135">
        <f t="shared" si="21"/>
        <v>8.155</v>
      </c>
      <c r="H1135">
        <v>1</v>
      </c>
    </row>
    <row r="1136" spans="2:8">
      <c r="B1136" s="3">
        <v>45622</v>
      </c>
      <c r="C1136" t="s">
        <v>56</v>
      </c>
      <c r="D1136">
        <f>VLOOKUP(C1136,成本价!$C$2:$D$83,2,0)*H1136</f>
        <v>3.483</v>
      </c>
      <c r="E1136">
        <v>12</v>
      </c>
      <c r="F1136">
        <v>3.5</v>
      </c>
      <c r="G1136">
        <f t="shared" si="21"/>
        <v>8.517</v>
      </c>
      <c r="H1136">
        <v>3</v>
      </c>
    </row>
    <row r="1137" spans="2:8">
      <c r="B1137" s="3">
        <v>45622</v>
      </c>
      <c r="C1137" t="s">
        <v>33</v>
      </c>
      <c r="D1137">
        <f>VLOOKUP(C1137,成本价!$C$2:$D$83,2,0)*H1137</f>
        <v>2.55</v>
      </c>
      <c r="E1137">
        <v>6.9</v>
      </c>
      <c r="F1137">
        <v>3.5</v>
      </c>
      <c r="G1137">
        <f t="shared" si="21"/>
        <v>4.35</v>
      </c>
      <c r="H1137">
        <v>1.5</v>
      </c>
    </row>
    <row r="1138" spans="2:8">
      <c r="B1138" s="3">
        <v>45622</v>
      </c>
      <c r="C1138" t="s">
        <v>27</v>
      </c>
      <c r="D1138">
        <f>VLOOKUP(C1138,成本价!$C$2:$D$83,2,0)*H1138</f>
        <v>2.7</v>
      </c>
      <c r="E1138">
        <v>6.9</v>
      </c>
      <c r="F1138">
        <v>0</v>
      </c>
      <c r="G1138">
        <f t="shared" si="21"/>
        <v>4.2</v>
      </c>
      <c r="H1138">
        <v>1.5</v>
      </c>
    </row>
    <row r="1139" spans="2:8">
      <c r="B1139" s="3">
        <v>45622</v>
      </c>
      <c r="C1139" t="s">
        <v>80</v>
      </c>
      <c r="D1139">
        <f>VLOOKUP(C1139,成本价!$C$2:$D$83,2,0)*H1139</f>
        <v>8.1</v>
      </c>
      <c r="E1139">
        <v>17.79</v>
      </c>
      <c r="F1139">
        <v>3.5</v>
      </c>
      <c r="G1139">
        <f t="shared" si="21"/>
        <v>9.69</v>
      </c>
      <c r="H1139">
        <v>1</v>
      </c>
    </row>
    <row r="1140" spans="2:8">
      <c r="B1140" s="3">
        <v>45622</v>
      </c>
      <c r="C1140" t="s">
        <v>58</v>
      </c>
      <c r="D1140">
        <f>VLOOKUP(C1140,成本价!$C$2:$D$83,2,0)*H1140</f>
        <v>8.4</v>
      </c>
      <c r="E1140">
        <v>17.79</v>
      </c>
      <c r="F1140">
        <v>3.5</v>
      </c>
      <c r="G1140">
        <f t="shared" si="21"/>
        <v>9.39</v>
      </c>
      <c r="H1140">
        <v>1</v>
      </c>
    </row>
    <row r="1141" spans="2:8">
      <c r="B1141" s="3">
        <v>45622</v>
      </c>
      <c r="C1141" t="s">
        <v>50</v>
      </c>
      <c r="D1141">
        <f>VLOOKUP(C1141,成本价!$C$2:$D$83,2,0)*H1141</f>
        <v>2.749</v>
      </c>
      <c r="E1141">
        <v>11.38</v>
      </c>
      <c r="F1141">
        <v>3.5</v>
      </c>
      <c r="G1141">
        <f t="shared" si="21"/>
        <v>8.631</v>
      </c>
      <c r="H1141">
        <v>1</v>
      </c>
    </row>
    <row r="1142" spans="2:8">
      <c r="B1142" s="3">
        <v>45622</v>
      </c>
      <c r="C1142" t="s">
        <v>64</v>
      </c>
      <c r="D1142">
        <f>VLOOKUP(C1142,成本价!$C$2:$D$83,2,0)*H1142</f>
        <v>6.38</v>
      </c>
      <c r="E1142">
        <v>16.8</v>
      </c>
      <c r="F1142">
        <v>3.5</v>
      </c>
      <c r="G1142">
        <f t="shared" si="21"/>
        <v>10.42</v>
      </c>
      <c r="H1142">
        <v>1</v>
      </c>
    </row>
    <row r="1143" spans="2:8">
      <c r="B1143" s="3">
        <v>45622</v>
      </c>
      <c r="C1143" t="s">
        <v>33</v>
      </c>
      <c r="D1143">
        <f>VLOOKUP(C1143,成本价!$C$2:$D$83,2,0)*H1143</f>
        <v>1.7</v>
      </c>
      <c r="E1143">
        <v>6.38</v>
      </c>
      <c r="F1143">
        <v>3.5</v>
      </c>
      <c r="G1143">
        <f t="shared" si="21"/>
        <v>4.68</v>
      </c>
      <c r="H1143">
        <v>1</v>
      </c>
    </row>
    <row r="1144" spans="2:10">
      <c r="B1144" s="3">
        <v>45622</v>
      </c>
      <c r="C1144" t="s">
        <v>65</v>
      </c>
      <c r="D1144">
        <f>VLOOKUP(C1144,成本价!$C$2:$D$83,2,0)*H1144</f>
        <v>5.3</v>
      </c>
      <c r="E1144">
        <v>15.63</v>
      </c>
      <c r="F1144">
        <v>3.5</v>
      </c>
      <c r="G1144">
        <f t="shared" si="21"/>
        <v>10.33</v>
      </c>
      <c r="H1144">
        <v>1</v>
      </c>
      <c r="J1144" s="2" t="s">
        <v>74</v>
      </c>
    </row>
    <row r="1145" spans="2:9">
      <c r="B1145" s="3">
        <v>45622</v>
      </c>
      <c r="I1145">
        <v>142.55</v>
      </c>
    </row>
    <row r="1146" spans="2:8">
      <c r="B1146" s="29">
        <v>45623</v>
      </c>
      <c r="C1146" t="s">
        <v>56</v>
      </c>
      <c r="D1146">
        <f>VLOOKUP(C1146,成本价!$C$2:$D$83,2,0)*H1146</f>
        <v>3.483</v>
      </c>
      <c r="E1146">
        <v>12</v>
      </c>
      <c r="F1146">
        <v>3.5</v>
      </c>
      <c r="G1146">
        <f t="shared" si="21"/>
        <v>8.517</v>
      </c>
      <c r="H1146">
        <v>3</v>
      </c>
    </row>
    <row r="1147" spans="2:8">
      <c r="B1147" s="3">
        <v>45623</v>
      </c>
      <c r="C1147" t="s">
        <v>55</v>
      </c>
      <c r="D1147">
        <f>VLOOKUP(C1147,成本价!$C$2:$D$83,2,0)*H1147</f>
        <v>3.513</v>
      </c>
      <c r="E1147">
        <v>12</v>
      </c>
      <c r="F1147">
        <v>3.5</v>
      </c>
      <c r="G1147">
        <f t="shared" si="21"/>
        <v>8.487</v>
      </c>
      <c r="H1147">
        <v>3</v>
      </c>
    </row>
    <row r="1148" spans="2:8">
      <c r="B1148" s="3">
        <v>45623</v>
      </c>
      <c r="C1148" t="s">
        <v>12</v>
      </c>
      <c r="D1148">
        <f>VLOOKUP(C1148,成本价!$C$2:$D$83,2,0)*H1148</f>
        <v>0.774</v>
      </c>
      <c r="G1148">
        <f t="shared" si="21"/>
        <v>-0.774</v>
      </c>
      <c r="H1148">
        <v>2</v>
      </c>
    </row>
    <row r="1149" spans="2:8">
      <c r="B1149" s="3">
        <v>45623</v>
      </c>
      <c r="C1149" t="s">
        <v>57</v>
      </c>
      <c r="D1149">
        <f>VLOOKUP(C1149,成本价!$C$2:$D$83,2,0)*H1149</f>
        <v>8.9</v>
      </c>
      <c r="E1149">
        <v>28</v>
      </c>
      <c r="F1149">
        <v>3.5</v>
      </c>
      <c r="G1149">
        <f t="shared" si="21"/>
        <v>19.1</v>
      </c>
      <c r="H1149">
        <v>1</v>
      </c>
    </row>
    <row r="1150" spans="2:8">
      <c r="B1150" s="3">
        <v>45623</v>
      </c>
      <c r="C1150" t="s">
        <v>36</v>
      </c>
      <c r="D1150">
        <f>VLOOKUP(C1150,成本价!$C$2:$D$83,2,0)*H1150</f>
        <v>3.48</v>
      </c>
      <c r="E1150">
        <v>7.9</v>
      </c>
      <c r="F1150">
        <v>3.5</v>
      </c>
      <c r="G1150">
        <f t="shared" si="21"/>
        <v>4.42</v>
      </c>
      <c r="H1150">
        <v>1.5</v>
      </c>
    </row>
    <row r="1151" spans="2:8">
      <c r="B1151" s="3">
        <v>45623</v>
      </c>
      <c r="C1151" t="s">
        <v>49</v>
      </c>
      <c r="D1151">
        <f>VLOOKUP(C1151,成本价!$C$2:$D$83,2,0)*H1151</f>
        <v>1.975</v>
      </c>
      <c r="E1151">
        <v>10.13</v>
      </c>
      <c r="F1151">
        <v>3.5</v>
      </c>
      <c r="G1151">
        <f t="shared" si="21"/>
        <v>8.155</v>
      </c>
      <c r="H1151">
        <v>1</v>
      </c>
    </row>
    <row r="1152" spans="2:8">
      <c r="B1152" s="3">
        <v>45623</v>
      </c>
      <c r="C1152" t="s">
        <v>12</v>
      </c>
      <c r="D1152">
        <f>VLOOKUP(C1152,成本价!$C$2:$D$83,2,0)*H1152</f>
        <v>2.709</v>
      </c>
      <c r="G1152">
        <f t="shared" si="21"/>
        <v>-2.709</v>
      </c>
      <c r="H1152">
        <v>7</v>
      </c>
    </row>
    <row r="1153" spans="2:8">
      <c r="B1153" s="3">
        <v>45623</v>
      </c>
      <c r="C1153" t="s">
        <v>55</v>
      </c>
      <c r="D1153">
        <f>VLOOKUP(C1153,成本价!$C$2:$D$83,2,0)*H1153</f>
        <v>3.513</v>
      </c>
      <c r="E1153">
        <v>12</v>
      </c>
      <c r="F1153">
        <v>3.5</v>
      </c>
      <c r="G1153">
        <f t="shared" si="21"/>
        <v>8.487</v>
      </c>
      <c r="H1153">
        <v>3</v>
      </c>
    </row>
    <row r="1154" spans="2:8">
      <c r="B1154" s="3">
        <v>45623</v>
      </c>
      <c r="C1154" t="s">
        <v>71</v>
      </c>
      <c r="D1154">
        <f>VLOOKUP(C1154,成本价!$C$2:$D$83,2,0)*H1154</f>
        <v>3.573</v>
      </c>
      <c r="E1154">
        <v>13.2</v>
      </c>
      <c r="F1154">
        <v>3.5</v>
      </c>
      <c r="G1154">
        <f t="shared" si="21"/>
        <v>9.627</v>
      </c>
      <c r="H1154">
        <v>3</v>
      </c>
    </row>
    <row r="1155" spans="2:8">
      <c r="B1155" s="3">
        <v>45623</v>
      </c>
      <c r="C1155" t="s">
        <v>58</v>
      </c>
      <c r="D1155">
        <f>VLOOKUP(C1155,成本价!$C$2:$D$83,2,0)*H1155</f>
        <v>8.4</v>
      </c>
      <c r="E1155">
        <v>17.79</v>
      </c>
      <c r="F1155">
        <v>3.5</v>
      </c>
      <c r="G1155">
        <f t="shared" si="21"/>
        <v>9.39</v>
      </c>
      <c r="H1155">
        <v>1</v>
      </c>
    </row>
    <row r="1156" spans="2:8">
      <c r="B1156" s="3">
        <v>45623</v>
      </c>
      <c r="C1156" t="s">
        <v>55</v>
      </c>
      <c r="D1156">
        <f>VLOOKUP(C1156,成本价!$C$2:$D$83,2,0)*H1156</f>
        <v>3.513</v>
      </c>
      <c r="G1156">
        <f t="shared" si="21"/>
        <v>-3.513</v>
      </c>
      <c r="H1156">
        <v>3</v>
      </c>
    </row>
    <row r="1157" spans="2:8">
      <c r="B1157" s="3">
        <v>45623</v>
      </c>
      <c r="C1157" t="s">
        <v>33</v>
      </c>
      <c r="D1157">
        <f>VLOOKUP(C1157,成本价!$C$2:$D$83,2,0)*H1157</f>
        <v>1.7</v>
      </c>
      <c r="E1157">
        <v>6.37</v>
      </c>
      <c r="F1157">
        <v>3.5</v>
      </c>
      <c r="G1157">
        <f t="shared" si="21"/>
        <v>4.67</v>
      </c>
      <c r="H1157">
        <v>1</v>
      </c>
    </row>
    <row r="1158" spans="2:8">
      <c r="B1158" s="3">
        <v>45623</v>
      </c>
      <c r="C1158" t="s">
        <v>50</v>
      </c>
      <c r="D1158">
        <f>VLOOKUP(C1158,成本价!$C$2:$D$83,2,0)*H1158</f>
        <v>2.749</v>
      </c>
      <c r="E1158">
        <v>11.38</v>
      </c>
      <c r="F1158">
        <v>3.5</v>
      </c>
      <c r="G1158">
        <f t="shared" si="21"/>
        <v>8.631</v>
      </c>
      <c r="H1158">
        <v>1</v>
      </c>
    </row>
    <row r="1159" spans="2:8">
      <c r="B1159" s="3">
        <v>45623</v>
      </c>
      <c r="C1159" t="s">
        <v>49</v>
      </c>
      <c r="D1159">
        <f>VLOOKUP(C1159,成本价!$C$2:$D$83,2,0)*H1159</f>
        <v>1.975</v>
      </c>
      <c r="E1159">
        <v>10.13</v>
      </c>
      <c r="F1159">
        <v>3.5</v>
      </c>
      <c r="G1159">
        <f t="shared" si="21"/>
        <v>8.155</v>
      </c>
      <c r="H1159">
        <v>1</v>
      </c>
    </row>
    <row r="1160" spans="2:8">
      <c r="B1160" s="3">
        <v>45623</v>
      </c>
      <c r="C1160" t="s">
        <v>55</v>
      </c>
      <c r="D1160">
        <f>VLOOKUP(C1160,成本价!$C$2:$D$83,2,0)*H1160</f>
        <v>3.513</v>
      </c>
      <c r="E1160">
        <v>12</v>
      </c>
      <c r="F1160">
        <v>3.5</v>
      </c>
      <c r="G1160">
        <f t="shared" si="21"/>
        <v>8.487</v>
      </c>
      <c r="H1160">
        <v>3</v>
      </c>
    </row>
    <row r="1161" spans="2:8">
      <c r="B1161" s="3">
        <v>45623</v>
      </c>
      <c r="C1161" t="s">
        <v>23</v>
      </c>
      <c r="D1161">
        <f>VLOOKUP(C1161,成本价!$C$2:$D$83,2,0)*H1161</f>
        <v>6.24</v>
      </c>
      <c r="E1161">
        <v>17.58</v>
      </c>
      <c r="F1161">
        <v>3.5</v>
      </c>
      <c r="G1161">
        <f t="shared" si="21"/>
        <v>11.34</v>
      </c>
      <c r="H1161">
        <v>3</v>
      </c>
    </row>
    <row r="1162" spans="2:8">
      <c r="B1162" s="3">
        <v>45623</v>
      </c>
      <c r="C1162" t="s">
        <v>28</v>
      </c>
      <c r="D1162">
        <f>VLOOKUP(C1162,成本价!$C$2:$D$83,2,0)*H1162</f>
        <v>2.22</v>
      </c>
      <c r="E1162">
        <v>0</v>
      </c>
      <c r="G1162">
        <f t="shared" si="21"/>
        <v>-2.22</v>
      </c>
      <c r="H1162">
        <v>1</v>
      </c>
    </row>
    <row r="1163" spans="2:8">
      <c r="B1163" s="3">
        <v>45623</v>
      </c>
      <c r="C1163" t="s">
        <v>33</v>
      </c>
      <c r="D1163">
        <f>VLOOKUP(C1163,成本价!$C$2:$D$83,2,0)*H1163</f>
        <v>1.7</v>
      </c>
      <c r="E1163">
        <v>5.37</v>
      </c>
      <c r="F1163">
        <v>3.5</v>
      </c>
      <c r="G1163">
        <f t="shared" si="21"/>
        <v>3.67</v>
      </c>
      <c r="H1163">
        <v>1</v>
      </c>
    </row>
    <row r="1164" spans="2:8">
      <c r="B1164" s="3">
        <v>45623</v>
      </c>
      <c r="C1164" t="s">
        <v>67</v>
      </c>
      <c r="D1164">
        <f>VLOOKUP(C1164,成本价!$C$2:$D$83,2,0)*H1164</f>
        <v>6.52</v>
      </c>
      <c r="E1164">
        <v>17.6</v>
      </c>
      <c r="F1164">
        <v>3.5</v>
      </c>
      <c r="G1164">
        <f t="shared" si="21"/>
        <v>11.08</v>
      </c>
      <c r="H1164">
        <v>1</v>
      </c>
    </row>
    <row r="1165" spans="2:8">
      <c r="B1165" s="3">
        <v>45623</v>
      </c>
      <c r="C1165" t="s">
        <v>28</v>
      </c>
      <c r="D1165">
        <f>VLOOKUP(C1165,成本价!$C$2:$D$83,2,0)*H1165</f>
        <v>2.22</v>
      </c>
      <c r="E1165">
        <v>6.46</v>
      </c>
      <c r="F1165">
        <v>3.5</v>
      </c>
      <c r="G1165">
        <f t="shared" si="21"/>
        <v>4.24</v>
      </c>
      <c r="H1165">
        <v>1</v>
      </c>
    </row>
    <row r="1166" spans="2:8">
      <c r="B1166" s="3">
        <v>45623</v>
      </c>
      <c r="C1166" t="s">
        <v>54</v>
      </c>
      <c r="D1166">
        <f>VLOOKUP(C1166,成本价!$C$2:$D$83,2,0)*H1166</f>
        <v>14.7</v>
      </c>
      <c r="E1166">
        <v>26.79</v>
      </c>
      <c r="F1166">
        <v>3.5</v>
      </c>
      <c r="G1166">
        <f t="shared" si="21"/>
        <v>12.09</v>
      </c>
      <c r="H1166">
        <v>1</v>
      </c>
    </row>
    <row r="1167" spans="2:8">
      <c r="B1167" s="3">
        <v>45623</v>
      </c>
      <c r="C1167" t="s">
        <v>50</v>
      </c>
      <c r="D1167">
        <f>VLOOKUP(C1167,成本价!$C$2:$D$83,2,0)*H1167</f>
        <v>2.749</v>
      </c>
      <c r="E1167">
        <v>11.38</v>
      </c>
      <c r="F1167">
        <v>3.5</v>
      </c>
      <c r="G1167">
        <f t="shared" si="21"/>
        <v>8.631</v>
      </c>
      <c r="H1167">
        <v>1</v>
      </c>
    </row>
    <row r="1168" spans="2:8">
      <c r="B1168" s="3">
        <v>45623</v>
      </c>
      <c r="C1168" t="s">
        <v>87</v>
      </c>
      <c r="D1168">
        <f>VLOOKUP(C1168,成本价!$C$2:$D$99,2,0)*H1168</f>
        <v>1.1475</v>
      </c>
      <c r="E1168">
        <v>10.16</v>
      </c>
      <c r="F1168">
        <v>3.5</v>
      </c>
      <c r="G1168">
        <f t="shared" si="21"/>
        <v>9.0125</v>
      </c>
      <c r="H1168">
        <v>9</v>
      </c>
    </row>
    <row r="1169" spans="2:8">
      <c r="B1169" s="3">
        <v>45623</v>
      </c>
      <c r="C1169" t="s">
        <v>88</v>
      </c>
      <c r="D1169">
        <f>VLOOKUP(C1169,成本价!$C$2:$D$99,2,0)*H1169</f>
        <v>0.405</v>
      </c>
      <c r="E1169">
        <v>0</v>
      </c>
      <c r="G1169">
        <f t="shared" si="21"/>
        <v>-0.405</v>
      </c>
      <c r="H1169">
        <v>3</v>
      </c>
    </row>
    <row r="1170" spans="2:8">
      <c r="B1170" s="3">
        <v>45623</v>
      </c>
      <c r="C1170" t="s">
        <v>50</v>
      </c>
      <c r="D1170">
        <f>VLOOKUP(C1170,成本价!$C$2:$D$99,2,0)*H1170</f>
        <v>2.749</v>
      </c>
      <c r="E1170">
        <v>11.38</v>
      </c>
      <c r="F1170">
        <v>3.5</v>
      </c>
      <c r="G1170">
        <f t="shared" si="21"/>
        <v>8.631</v>
      </c>
      <c r="H1170">
        <v>1</v>
      </c>
    </row>
    <row r="1171" spans="2:8">
      <c r="B1171" s="3">
        <v>45623</v>
      </c>
      <c r="C1171" t="s">
        <v>12</v>
      </c>
      <c r="D1171">
        <f>VLOOKUP(C1171,成本价!$C$2:$D$99,2,0)*H1171</f>
        <v>0.774</v>
      </c>
      <c r="G1171">
        <f t="shared" si="21"/>
        <v>-0.774</v>
      </c>
      <c r="H1171">
        <v>2</v>
      </c>
    </row>
    <row r="1172" spans="2:8">
      <c r="B1172" s="3">
        <v>45623</v>
      </c>
      <c r="C1172" t="s">
        <v>78</v>
      </c>
      <c r="D1172">
        <f>VLOOKUP(C1172,成本价!$C$2:$D$99,2,0)*H1172</f>
        <v>0.1728</v>
      </c>
      <c r="E1172">
        <v>4.93</v>
      </c>
      <c r="F1172">
        <v>3.5</v>
      </c>
      <c r="G1172">
        <f t="shared" si="21"/>
        <v>4.7572</v>
      </c>
      <c r="H1172">
        <v>1</v>
      </c>
    </row>
    <row r="1173" spans="2:8">
      <c r="B1173" s="3">
        <v>45623</v>
      </c>
      <c r="C1173" t="s">
        <v>56</v>
      </c>
      <c r="D1173">
        <f>VLOOKUP(C1173,成本价!$C$2:$D$99,2,0)*H1173</f>
        <v>3.483</v>
      </c>
      <c r="E1173">
        <v>12</v>
      </c>
      <c r="F1173">
        <v>3.5</v>
      </c>
      <c r="G1173">
        <f t="shared" si="21"/>
        <v>8.517</v>
      </c>
      <c r="H1173">
        <v>3</v>
      </c>
    </row>
    <row r="1174" spans="2:10">
      <c r="B1174" s="3">
        <v>45623</v>
      </c>
      <c r="C1174" t="s">
        <v>69</v>
      </c>
      <c r="D1174">
        <f>VLOOKUP(C1174,成本价!$C$2:$D$99,2,0)*H1174</f>
        <v>17.12</v>
      </c>
      <c r="E1174">
        <v>33.19</v>
      </c>
      <c r="F1174">
        <v>3.5</v>
      </c>
      <c r="G1174">
        <f t="shared" si="21"/>
        <v>16.07</v>
      </c>
      <c r="H1174">
        <v>1</v>
      </c>
      <c r="J1174" s="2" t="s">
        <v>74</v>
      </c>
    </row>
    <row r="1175" spans="2:9">
      <c r="B1175" s="3">
        <v>45623</v>
      </c>
      <c r="I1175">
        <f>112.61+14.08-2.52</f>
        <v>124.17</v>
      </c>
    </row>
    <row r="1176" spans="2:8">
      <c r="B1176" s="29">
        <v>45624</v>
      </c>
      <c r="C1176" t="s">
        <v>33</v>
      </c>
      <c r="D1176">
        <f>VLOOKUP(C1176,成本价!$C$2:$D$99,2,0)*H1176</f>
        <v>5.1</v>
      </c>
      <c r="E1176">
        <f>5.79*3</f>
        <v>17.37</v>
      </c>
      <c r="F1176">
        <v>3.5</v>
      </c>
      <c r="G1176">
        <f t="shared" si="21"/>
        <v>12.27</v>
      </c>
      <c r="H1176">
        <v>3</v>
      </c>
    </row>
    <row r="1177" spans="2:8">
      <c r="B1177" s="3">
        <v>45624</v>
      </c>
      <c r="C1177" t="s">
        <v>27</v>
      </c>
      <c r="D1177">
        <f>VLOOKUP(C1177,成本价!$C$2:$D$99,2,0)*H1177</f>
        <v>1.8</v>
      </c>
      <c r="E1177">
        <v>5.79</v>
      </c>
      <c r="F1177">
        <v>0</v>
      </c>
      <c r="G1177">
        <f t="shared" ref="G1177:G1237" si="22">E1177-D1177</f>
        <v>3.99</v>
      </c>
      <c r="H1177">
        <v>1</v>
      </c>
    </row>
    <row r="1178" spans="2:8">
      <c r="B1178" s="3">
        <v>45624</v>
      </c>
      <c r="C1178" t="s">
        <v>82</v>
      </c>
      <c r="D1178">
        <f>VLOOKUP(C1178,成本价!$C$2:$D$99,2,0)*H1178</f>
        <v>13.2</v>
      </c>
      <c r="E1178">
        <v>23.08</v>
      </c>
      <c r="F1178">
        <v>3.5</v>
      </c>
      <c r="G1178">
        <f t="shared" si="22"/>
        <v>9.88</v>
      </c>
      <c r="H1178">
        <v>1</v>
      </c>
    </row>
    <row r="1179" spans="2:8">
      <c r="B1179" s="3">
        <v>45624</v>
      </c>
      <c r="C1179" t="s">
        <v>33</v>
      </c>
      <c r="D1179">
        <f>VLOOKUP(C1179,成本价!$C$2:$D$99,2,0)*H1179</f>
        <v>1.7</v>
      </c>
      <c r="E1179">
        <v>6.54</v>
      </c>
      <c r="F1179">
        <v>3.5</v>
      </c>
      <c r="G1179">
        <f t="shared" si="22"/>
        <v>4.84</v>
      </c>
      <c r="H1179">
        <v>1</v>
      </c>
    </row>
    <row r="1180" spans="2:8">
      <c r="B1180" s="3">
        <v>45624</v>
      </c>
      <c r="C1180" t="s">
        <v>58</v>
      </c>
      <c r="D1180">
        <f>VLOOKUP(C1180,成本价!$C$2:$D$99,2,0)*H1180</f>
        <v>8.4</v>
      </c>
      <c r="E1180">
        <v>18.24</v>
      </c>
      <c r="F1180">
        <v>3.5</v>
      </c>
      <c r="G1180">
        <f t="shared" si="22"/>
        <v>9.84</v>
      </c>
      <c r="H1180">
        <v>1</v>
      </c>
    </row>
    <row r="1181" spans="2:8">
      <c r="B1181" s="3">
        <v>45624</v>
      </c>
      <c r="C1181" t="s">
        <v>49</v>
      </c>
      <c r="D1181">
        <f>VLOOKUP(C1181,成本价!$C$2:$D$99,2,0)*H1181</f>
        <v>1.975</v>
      </c>
      <c r="E1181">
        <v>10.48</v>
      </c>
      <c r="F1181">
        <v>3.5</v>
      </c>
      <c r="G1181">
        <f t="shared" si="22"/>
        <v>8.505</v>
      </c>
      <c r="H1181">
        <v>1</v>
      </c>
    </row>
    <row r="1182" spans="2:8">
      <c r="B1182" s="3">
        <v>45624</v>
      </c>
      <c r="C1182" t="s">
        <v>85</v>
      </c>
      <c r="D1182">
        <f>VLOOKUP(C1182,成本价!$C$2:$D$99,2,0)*H1182</f>
        <v>2.1312</v>
      </c>
      <c r="E1182">
        <v>18.68</v>
      </c>
      <c r="F1182">
        <v>3.5</v>
      </c>
      <c r="G1182">
        <f t="shared" si="22"/>
        <v>16.5488</v>
      </c>
      <c r="H1182">
        <v>1</v>
      </c>
    </row>
    <row r="1183" spans="2:8">
      <c r="B1183" s="3">
        <v>45624</v>
      </c>
      <c r="C1183" t="s">
        <v>45</v>
      </c>
      <c r="D1183">
        <f>VLOOKUP(C1183,成本价!$C$2:$D$99,2,0)*H1183</f>
        <v>7.2</v>
      </c>
      <c r="E1183">
        <v>18.34</v>
      </c>
      <c r="F1183">
        <v>3.5</v>
      </c>
      <c r="G1183">
        <f t="shared" si="22"/>
        <v>11.14</v>
      </c>
      <c r="H1183">
        <v>3</v>
      </c>
    </row>
    <row r="1184" spans="2:8">
      <c r="B1184" s="3">
        <v>45624</v>
      </c>
      <c r="C1184" t="s">
        <v>76</v>
      </c>
      <c r="D1184">
        <f>VLOOKUP(C1184,成本价!$C$2:$D$99,2,0)*H1184</f>
        <v>1.7856</v>
      </c>
      <c r="E1184">
        <v>12</v>
      </c>
      <c r="F1184">
        <v>3.5</v>
      </c>
      <c r="G1184">
        <f t="shared" si="22"/>
        <v>10.2144</v>
      </c>
      <c r="H1184">
        <v>1</v>
      </c>
    </row>
    <row r="1185" spans="2:8">
      <c r="B1185" s="3">
        <v>45624</v>
      </c>
      <c r="C1185" t="s">
        <v>76</v>
      </c>
      <c r="D1185">
        <f>VLOOKUP(C1185,成本价!$C$2:$D$99,2,0)*H1185</f>
        <v>1.7856</v>
      </c>
      <c r="E1185">
        <v>12</v>
      </c>
      <c r="F1185">
        <v>3.5</v>
      </c>
      <c r="G1185">
        <f t="shared" si="22"/>
        <v>10.2144</v>
      </c>
      <c r="H1185">
        <v>1</v>
      </c>
    </row>
    <row r="1186" spans="2:8">
      <c r="B1186" s="3">
        <v>45624</v>
      </c>
      <c r="C1186" t="s">
        <v>50</v>
      </c>
      <c r="D1186">
        <f>VLOOKUP(C1186,成本价!$C$2:$D$99,2,0)*H1186</f>
        <v>2.749</v>
      </c>
      <c r="E1186">
        <v>11.77</v>
      </c>
      <c r="F1186">
        <v>3.5</v>
      </c>
      <c r="G1186">
        <f t="shared" si="22"/>
        <v>9.021</v>
      </c>
      <c r="H1186">
        <v>1</v>
      </c>
    </row>
    <row r="1187" spans="2:8">
      <c r="B1187" s="3">
        <v>45624</v>
      </c>
      <c r="C1187" t="s">
        <v>89</v>
      </c>
      <c r="D1187">
        <f>VLOOKUP(C1187,成本价!$C$2:$D$99,2,0)*H1187</f>
        <v>5.92</v>
      </c>
      <c r="E1187">
        <v>18.24</v>
      </c>
      <c r="F1187">
        <v>3.5</v>
      </c>
      <c r="G1187">
        <f t="shared" si="22"/>
        <v>12.32</v>
      </c>
      <c r="H1187">
        <v>1</v>
      </c>
    </row>
    <row r="1188" spans="2:8">
      <c r="B1188" s="3">
        <v>45624</v>
      </c>
      <c r="C1188" t="s">
        <v>79</v>
      </c>
      <c r="D1188">
        <f>VLOOKUP(C1188,成本价!$C$2:$D$99,2,0)*H1188</f>
        <v>12.3</v>
      </c>
      <c r="E1188">
        <v>34.13</v>
      </c>
      <c r="F1188">
        <v>3.5</v>
      </c>
      <c r="G1188">
        <f t="shared" si="22"/>
        <v>21.83</v>
      </c>
      <c r="H1188">
        <v>1</v>
      </c>
    </row>
    <row r="1189" spans="2:8">
      <c r="B1189" s="3">
        <v>45624</v>
      </c>
      <c r="C1189" t="s">
        <v>57</v>
      </c>
      <c r="D1189">
        <f>VLOOKUP(C1189,成本价!$C$2:$D$99,2,0)*H1189</f>
        <v>8.9</v>
      </c>
      <c r="E1189">
        <v>29.25</v>
      </c>
      <c r="F1189">
        <v>3.5</v>
      </c>
      <c r="G1189">
        <f t="shared" si="22"/>
        <v>20.35</v>
      </c>
      <c r="H1189">
        <v>1</v>
      </c>
    </row>
    <row r="1190" spans="2:8">
      <c r="B1190" s="3">
        <v>45624</v>
      </c>
      <c r="C1190" t="s">
        <v>90</v>
      </c>
      <c r="D1190">
        <f>VLOOKUP(C1190,成本价!$C$2:$D$99,2,0)*H1190</f>
        <v>2.6</v>
      </c>
      <c r="G1190">
        <f t="shared" si="22"/>
        <v>-2.6</v>
      </c>
      <c r="H1190">
        <v>1</v>
      </c>
    </row>
    <row r="1191" spans="2:8">
      <c r="B1191" s="3">
        <v>45624</v>
      </c>
      <c r="C1191" t="s">
        <v>90</v>
      </c>
      <c r="D1191">
        <f>VLOOKUP(C1191,成本价!$C$2:$D$99,2,0)*H1191</f>
        <v>2.6</v>
      </c>
      <c r="G1191">
        <f t="shared" si="22"/>
        <v>-2.6</v>
      </c>
      <c r="H1191">
        <v>1</v>
      </c>
    </row>
    <row r="1192" spans="2:10">
      <c r="B1192" s="3">
        <v>45624</v>
      </c>
      <c r="C1192" t="s">
        <v>65</v>
      </c>
      <c r="E1192">
        <v>15.63</v>
      </c>
      <c r="F1192">
        <v>3.5</v>
      </c>
      <c r="G1192">
        <f t="shared" si="22"/>
        <v>15.63</v>
      </c>
      <c r="H1192">
        <v>1</v>
      </c>
      <c r="J1192" s="2" t="s">
        <v>74</v>
      </c>
    </row>
    <row r="1193" spans="2:9">
      <c r="B1193" s="3">
        <v>45624</v>
      </c>
      <c r="I1193">
        <f>107.29+2.52-23.17</f>
        <v>86.64</v>
      </c>
    </row>
    <row r="1194" spans="2:8">
      <c r="B1194" s="29">
        <v>45625</v>
      </c>
      <c r="C1194" t="s">
        <v>58</v>
      </c>
      <c r="D1194">
        <f>VLOOKUP(C1194,成本价!$C$2:$D$99,2,0)*H1194</f>
        <v>8.4</v>
      </c>
      <c r="E1194">
        <v>18.24</v>
      </c>
      <c r="F1194">
        <v>3.5</v>
      </c>
      <c r="G1194">
        <f t="shared" si="22"/>
        <v>9.84</v>
      </c>
      <c r="H1194">
        <v>1</v>
      </c>
    </row>
    <row r="1195" spans="2:8">
      <c r="B1195" s="3">
        <v>45625</v>
      </c>
      <c r="C1195" t="s">
        <v>76</v>
      </c>
      <c r="D1195">
        <f>VLOOKUP(C1195,成本价!$C$2:$D$99,2,0)*H1195</f>
        <v>1.7856</v>
      </c>
      <c r="E1195">
        <v>13.2</v>
      </c>
      <c r="F1195">
        <v>3.5</v>
      </c>
      <c r="G1195">
        <f t="shared" si="22"/>
        <v>11.4144</v>
      </c>
      <c r="H1195">
        <v>1</v>
      </c>
    </row>
    <row r="1196" spans="2:8">
      <c r="B1196" s="3">
        <v>45625</v>
      </c>
      <c r="C1196" t="s">
        <v>60</v>
      </c>
      <c r="D1196">
        <f>VLOOKUP(C1196,成本价!$C$2:$D$99,2,0)*H1196</f>
        <v>5.2</v>
      </c>
      <c r="E1196">
        <v>17.15</v>
      </c>
      <c r="F1196">
        <v>3.5</v>
      </c>
      <c r="G1196">
        <f t="shared" si="22"/>
        <v>11.95</v>
      </c>
      <c r="H1196">
        <v>1</v>
      </c>
    </row>
    <row r="1197" spans="2:8">
      <c r="B1197" s="3">
        <v>45625</v>
      </c>
      <c r="C1197" t="s">
        <v>12</v>
      </c>
      <c r="D1197">
        <f>VLOOKUP(C1197,成本价!$C$2:$D$99,2,0)*H1197</f>
        <v>1.935</v>
      </c>
      <c r="E1197">
        <v>16.34</v>
      </c>
      <c r="F1197">
        <v>3.5</v>
      </c>
      <c r="G1197">
        <f t="shared" si="22"/>
        <v>14.405</v>
      </c>
      <c r="H1197">
        <v>5</v>
      </c>
    </row>
    <row r="1198" spans="2:8">
      <c r="B1198" s="3">
        <v>45625</v>
      </c>
      <c r="C1198" t="s">
        <v>44</v>
      </c>
      <c r="D1198">
        <f>VLOOKUP(C1198,成本价!$C$2:$D$99,2,0)*H1198</f>
        <v>2.779</v>
      </c>
      <c r="G1198">
        <f t="shared" si="22"/>
        <v>-2.779</v>
      </c>
      <c r="H1198">
        <v>7</v>
      </c>
    </row>
    <row r="1199" spans="2:8">
      <c r="B1199" s="3">
        <v>45625</v>
      </c>
      <c r="C1199" t="s">
        <v>49</v>
      </c>
      <c r="D1199">
        <f>VLOOKUP(C1199,成本价!$C$2:$D$99,2,0)*H1199</f>
        <v>1.975</v>
      </c>
      <c r="E1199">
        <v>10.36</v>
      </c>
      <c r="F1199">
        <v>3.5</v>
      </c>
      <c r="G1199">
        <f t="shared" si="22"/>
        <v>8.385</v>
      </c>
      <c r="H1199">
        <v>1</v>
      </c>
    </row>
    <row r="1200" spans="2:8">
      <c r="B1200" s="3">
        <v>45625</v>
      </c>
      <c r="C1200" t="s">
        <v>76</v>
      </c>
      <c r="D1200">
        <f>VLOOKUP(C1200,成本价!$C$2:$D$99,2,0)*H1200</f>
        <v>1.7856</v>
      </c>
      <c r="E1200">
        <v>12</v>
      </c>
      <c r="F1200">
        <v>3.5</v>
      </c>
      <c r="G1200">
        <f t="shared" si="22"/>
        <v>10.2144</v>
      </c>
      <c r="H1200">
        <v>1</v>
      </c>
    </row>
    <row r="1201" spans="2:8">
      <c r="B1201" s="3">
        <v>45625</v>
      </c>
      <c r="C1201" t="s">
        <v>58</v>
      </c>
      <c r="D1201">
        <f>VLOOKUP(C1201,成本价!$C$2:$D$99,2,0)*H1201</f>
        <v>8.4</v>
      </c>
      <c r="E1201">
        <v>18.24</v>
      </c>
      <c r="F1201">
        <v>3.5</v>
      </c>
      <c r="G1201">
        <f t="shared" si="22"/>
        <v>9.84</v>
      </c>
      <c r="H1201">
        <v>1</v>
      </c>
    </row>
    <row r="1202" spans="2:8">
      <c r="B1202" s="3">
        <v>45625</v>
      </c>
      <c r="C1202" t="s">
        <v>16</v>
      </c>
      <c r="D1202">
        <f>VLOOKUP(C1202,成本价!$C$2:$D$99,2,0)*H1202</f>
        <v>2.7</v>
      </c>
      <c r="E1202">
        <v>18.34</v>
      </c>
      <c r="F1202">
        <v>3.5</v>
      </c>
      <c r="G1202">
        <f t="shared" si="22"/>
        <v>15.64</v>
      </c>
      <c r="H1202">
        <v>1</v>
      </c>
    </row>
    <row r="1203" spans="2:8">
      <c r="B1203" s="3">
        <v>45625</v>
      </c>
      <c r="C1203" t="s">
        <v>20</v>
      </c>
      <c r="D1203">
        <f>VLOOKUP(C1203,成本价!$C$2:$D$99,2,0)*H1203</f>
        <v>6</v>
      </c>
      <c r="G1203">
        <f t="shared" si="22"/>
        <v>-6</v>
      </c>
      <c r="H1203">
        <v>2</v>
      </c>
    </row>
    <row r="1204" spans="2:8">
      <c r="B1204" s="3">
        <v>45625</v>
      </c>
      <c r="C1204" t="s">
        <v>68</v>
      </c>
      <c r="D1204">
        <f>VLOOKUP(C1204,成本价!$C$2:$D$99,2,0)*H1204</f>
        <v>18</v>
      </c>
      <c r="E1204">
        <v>35.84</v>
      </c>
      <c r="F1204">
        <v>3.5</v>
      </c>
      <c r="G1204">
        <f t="shared" si="22"/>
        <v>17.84</v>
      </c>
      <c r="H1204">
        <v>1</v>
      </c>
    </row>
    <row r="1205" spans="2:8">
      <c r="B1205" s="3">
        <v>45625</v>
      </c>
      <c r="C1205" t="s">
        <v>45</v>
      </c>
      <c r="D1205">
        <f>VLOOKUP(C1205,成本价!$C$2:$D$99,2,0)*H1205</f>
        <v>16.8</v>
      </c>
      <c r="E1205">
        <v>37.09</v>
      </c>
      <c r="F1205">
        <v>3.5</v>
      </c>
      <c r="G1205">
        <f t="shared" si="22"/>
        <v>20.29</v>
      </c>
      <c r="H1205">
        <v>7</v>
      </c>
    </row>
    <row r="1206" spans="2:8">
      <c r="B1206" s="3">
        <v>45625</v>
      </c>
      <c r="C1206" t="s">
        <v>50</v>
      </c>
      <c r="D1206">
        <f>VLOOKUP(C1206,成本价!$C$2:$D$99,2,0)*H1206</f>
        <v>2.749</v>
      </c>
      <c r="E1206">
        <v>11.64</v>
      </c>
      <c r="F1206">
        <v>3.5</v>
      </c>
      <c r="G1206">
        <f t="shared" si="22"/>
        <v>8.891</v>
      </c>
      <c r="H1206">
        <v>1</v>
      </c>
    </row>
    <row r="1207" spans="2:8">
      <c r="B1207" s="3">
        <v>45625</v>
      </c>
      <c r="C1207" t="s">
        <v>80</v>
      </c>
      <c r="D1207">
        <f>VLOOKUP(C1207,成本价!$C$2:$D$99,2,0)*H1207</f>
        <v>8.1</v>
      </c>
      <c r="E1207">
        <v>18.24</v>
      </c>
      <c r="F1207">
        <v>3.5</v>
      </c>
      <c r="G1207">
        <f t="shared" si="22"/>
        <v>10.14</v>
      </c>
      <c r="H1207">
        <v>1</v>
      </c>
    </row>
    <row r="1208" spans="2:8">
      <c r="B1208" s="3">
        <v>45625</v>
      </c>
      <c r="C1208" t="s">
        <v>50</v>
      </c>
      <c r="D1208">
        <f>VLOOKUP(C1208,成本价!$C$2:$D$99,2,0)*H1208</f>
        <v>2.749</v>
      </c>
      <c r="E1208">
        <v>11.64</v>
      </c>
      <c r="F1208">
        <v>3.5</v>
      </c>
      <c r="G1208">
        <f t="shared" si="22"/>
        <v>8.891</v>
      </c>
      <c r="H1208">
        <v>1</v>
      </c>
    </row>
    <row r="1209" spans="2:8">
      <c r="B1209" s="3">
        <v>45625</v>
      </c>
      <c r="C1209" t="s">
        <v>58</v>
      </c>
      <c r="D1209">
        <f>VLOOKUP(C1209,成本价!$C$2:$D$99,2,0)*H1209</f>
        <v>8.4</v>
      </c>
      <c r="E1209">
        <v>25.08</v>
      </c>
      <c r="F1209">
        <v>3.5</v>
      </c>
      <c r="G1209">
        <f t="shared" si="22"/>
        <v>16.68</v>
      </c>
      <c r="H1209">
        <v>1</v>
      </c>
    </row>
    <row r="1210" spans="2:8">
      <c r="B1210" s="3">
        <v>45625</v>
      </c>
      <c r="C1210" t="s">
        <v>90</v>
      </c>
      <c r="D1210">
        <f>VLOOKUP(C1210,成本价!$C$2:$D$99,2,0)*H1210</f>
        <v>2.6</v>
      </c>
      <c r="G1210">
        <f t="shared" si="22"/>
        <v>-2.6</v>
      </c>
      <c r="H1210">
        <v>1</v>
      </c>
    </row>
    <row r="1211" spans="2:8">
      <c r="B1211" s="3">
        <v>45625</v>
      </c>
      <c r="C1211" t="s">
        <v>70</v>
      </c>
      <c r="D1211">
        <f>VLOOKUP(C1211,成本价!$C$2:$D$99,2,0)*H1211</f>
        <v>13.72</v>
      </c>
      <c r="E1211">
        <v>35.76</v>
      </c>
      <c r="F1211">
        <v>3.5</v>
      </c>
      <c r="G1211">
        <f t="shared" si="22"/>
        <v>22.04</v>
      </c>
      <c r="H1211">
        <v>1</v>
      </c>
    </row>
    <row r="1212" spans="2:8">
      <c r="B1212" s="3">
        <v>45625</v>
      </c>
      <c r="C1212" t="s">
        <v>91</v>
      </c>
      <c r="D1212">
        <f>VLOOKUP(C1212,成本价!$C$2:$D$99,2,0)*H1212</f>
        <v>3</v>
      </c>
      <c r="G1212">
        <f t="shared" si="22"/>
        <v>-3</v>
      </c>
      <c r="H1212">
        <v>1</v>
      </c>
    </row>
    <row r="1213" spans="2:10">
      <c r="B1213" s="3">
        <v>45625</v>
      </c>
      <c r="C1213" t="s">
        <v>63</v>
      </c>
      <c r="D1213">
        <f>VLOOKUP(C1213,成本价!$C$2:$D$99,2,0)*H1213</f>
        <v>5.1</v>
      </c>
      <c r="E1213">
        <v>15.63</v>
      </c>
      <c r="F1213">
        <v>3.5</v>
      </c>
      <c r="G1213">
        <f t="shared" si="22"/>
        <v>10.53</v>
      </c>
      <c r="H1213">
        <v>1</v>
      </c>
      <c r="J1213" s="2" t="s">
        <v>74</v>
      </c>
    </row>
    <row r="1214" spans="2:10">
      <c r="B1214" s="3">
        <v>45625</v>
      </c>
      <c r="C1214" t="s">
        <v>54</v>
      </c>
      <c r="D1214">
        <f>VLOOKUP(C1214,成本价!$C$2:$D$99,2,0)*H1214</f>
        <v>14.7</v>
      </c>
      <c r="E1214">
        <v>31.79</v>
      </c>
      <c r="F1214">
        <v>3.5</v>
      </c>
      <c r="G1214">
        <f t="shared" si="22"/>
        <v>17.09</v>
      </c>
      <c r="H1214">
        <v>1</v>
      </c>
      <c r="J1214" s="2" t="s">
        <v>74</v>
      </c>
    </row>
    <row r="1215" spans="2:10">
      <c r="B1215" s="3">
        <v>45625</v>
      </c>
      <c r="C1215" t="s">
        <v>23</v>
      </c>
      <c r="D1215">
        <f>VLOOKUP(C1215,成本价!$C$2:$D$99,2,0)*H1215</f>
        <v>6.24</v>
      </c>
      <c r="E1215">
        <v>28.94</v>
      </c>
      <c r="F1215">
        <v>3.5</v>
      </c>
      <c r="G1215">
        <f t="shared" si="22"/>
        <v>22.7</v>
      </c>
      <c r="H1215">
        <v>3</v>
      </c>
      <c r="J1215" s="2" t="s">
        <v>74</v>
      </c>
    </row>
    <row r="1216" spans="2:10">
      <c r="B1216" s="3">
        <v>45625</v>
      </c>
      <c r="C1216" t="s">
        <v>28</v>
      </c>
      <c r="D1216">
        <f>VLOOKUP(C1216,成本价!$C$2:$D$99,2,0)*H1216</f>
        <v>4.44</v>
      </c>
      <c r="G1216">
        <f t="shared" si="22"/>
        <v>-4.44</v>
      </c>
      <c r="H1216">
        <v>2</v>
      </c>
      <c r="J1216" s="2" t="s">
        <v>74</v>
      </c>
    </row>
    <row r="1217" spans="2:10">
      <c r="B1217" s="3">
        <v>45625</v>
      </c>
      <c r="C1217" t="s">
        <v>92</v>
      </c>
      <c r="D1217">
        <f>VLOOKUP(C1217,成本价!$C$2:$D$99,2,0)*H1217</f>
        <v>3</v>
      </c>
      <c r="G1217">
        <f t="shared" si="22"/>
        <v>-3</v>
      </c>
      <c r="H1217">
        <v>1</v>
      </c>
      <c r="J1217" s="2" t="s">
        <v>74</v>
      </c>
    </row>
    <row r="1218" spans="2:9">
      <c r="B1218" s="3">
        <v>45625</v>
      </c>
      <c r="I1218">
        <v>109.43</v>
      </c>
    </row>
    <row r="1219" spans="2:8">
      <c r="B1219" s="29">
        <v>45626</v>
      </c>
      <c r="C1219" t="s">
        <v>33</v>
      </c>
      <c r="D1219">
        <f>VLOOKUP(C1219,成本价!$C$2:$D$99,2,0)*H1219</f>
        <v>0.85</v>
      </c>
      <c r="E1219">
        <v>6.45</v>
      </c>
      <c r="F1219">
        <v>3.5</v>
      </c>
      <c r="G1219">
        <f t="shared" si="22"/>
        <v>5.6</v>
      </c>
      <c r="H1219">
        <v>0.5</v>
      </c>
    </row>
    <row r="1220" spans="2:8">
      <c r="B1220" s="3">
        <v>45626</v>
      </c>
      <c r="C1220" t="s">
        <v>27</v>
      </c>
      <c r="D1220">
        <f>VLOOKUP(C1220,成本价!$C$2:$D$99,2,0)*H1220</f>
        <v>0.9</v>
      </c>
      <c r="E1220">
        <v>5.45</v>
      </c>
      <c r="F1220">
        <v>3.5</v>
      </c>
      <c r="G1220">
        <f t="shared" si="22"/>
        <v>4.55</v>
      </c>
      <c r="H1220">
        <v>0.5</v>
      </c>
    </row>
    <row r="1221" spans="2:8">
      <c r="B1221" s="3">
        <v>45626</v>
      </c>
      <c r="C1221" t="s">
        <v>55</v>
      </c>
      <c r="D1221">
        <f>VLOOKUP(C1221,成本价!$C$2:$D$99,2,0)*H1221</f>
        <v>3.513</v>
      </c>
      <c r="E1221">
        <v>12.23</v>
      </c>
      <c r="F1221">
        <v>3.5</v>
      </c>
      <c r="G1221">
        <f t="shared" si="22"/>
        <v>8.717</v>
      </c>
      <c r="H1221">
        <v>3</v>
      </c>
    </row>
    <row r="1222" spans="2:8">
      <c r="B1222" s="3">
        <v>45626</v>
      </c>
      <c r="C1222" t="s">
        <v>33</v>
      </c>
      <c r="D1222">
        <f>VLOOKUP(C1222,成本价!$C$2:$D$99,2,0)*H1222</f>
        <v>5.1</v>
      </c>
      <c r="E1222">
        <v>25.93</v>
      </c>
      <c r="F1222">
        <v>3.5</v>
      </c>
      <c r="G1222">
        <f t="shared" si="22"/>
        <v>20.83</v>
      </c>
      <c r="H1222">
        <v>3</v>
      </c>
    </row>
    <row r="1223" spans="2:8">
      <c r="B1223" s="3">
        <v>45626</v>
      </c>
      <c r="C1223" t="s">
        <v>27</v>
      </c>
      <c r="D1223">
        <f>VLOOKUP(C1223,成本价!$C$2:$D$99,2,0)*H1223</f>
        <v>3.6</v>
      </c>
      <c r="F1223">
        <v>0</v>
      </c>
      <c r="G1223">
        <f t="shared" si="22"/>
        <v>-3.6</v>
      </c>
      <c r="H1223">
        <v>2</v>
      </c>
    </row>
    <row r="1224" spans="2:8">
      <c r="B1224" s="3">
        <v>45626</v>
      </c>
      <c r="C1224" t="s">
        <v>27</v>
      </c>
      <c r="D1224">
        <f>VLOOKUP(C1224,成本价!$C$2:$D$99,2,0)*H1224</f>
        <v>1.8</v>
      </c>
      <c r="E1224">
        <v>6.21</v>
      </c>
      <c r="F1224">
        <v>0</v>
      </c>
      <c r="G1224">
        <f t="shared" si="22"/>
        <v>4.41</v>
      </c>
      <c r="H1224">
        <v>1</v>
      </c>
    </row>
    <row r="1225" spans="2:8">
      <c r="B1225" s="3">
        <v>45626</v>
      </c>
      <c r="C1225" t="s">
        <v>88</v>
      </c>
      <c r="D1225">
        <f>VLOOKUP(C1225,成本价!$C$2:$D$99,2,0)*H1225</f>
        <v>1.215</v>
      </c>
      <c r="E1225">
        <v>7.88</v>
      </c>
      <c r="F1225">
        <v>0</v>
      </c>
      <c r="G1225">
        <f t="shared" si="22"/>
        <v>6.665</v>
      </c>
      <c r="H1225">
        <v>9</v>
      </c>
    </row>
    <row r="1226" spans="2:8">
      <c r="B1226" s="3">
        <v>45626</v>
      </c>
      <c r="C1226" t="s">
        <v>71</v>
      </c>
      <c r="D1226">
        <f>VLOOKUP(C1226,成本价!$C$2:$D$99,2,0)*H1226</f>
        <v>3.573</v>
      </c>
      <c r="E1226">
        <v>12.31</v>
      </c>
      <c r="F1226">
        <v>3.5</v>
      </c>
      <c r="G1226">
        <f t="shared" si="22"/>
        <v>8.737</v>
      </c>
      <c r="H1226">
        <v>3</v>
      </c>
    </row>
    <row r="1227" spans="2:8">
      <c r="B1227" s="3">
        <v>45626</v>
      </c>
      <c r="C1227" t="s">
        <v>50</v>
      </c>
      <c r="D1227">
        <f>VLOOKUP(C1227,成本价!$C$2:$D$99,2,0)*H1227</f>
        <v>2.749</v>
      </c>
      <c r="E1227">
        <v>10.6</v>
      </c>
      <c r="F1227">
        <v>3.5</v>
      </c>
      <c r="G1227">
        <f t="shared" si="22"/>
        <v>7.851</v>
      </c>
      <c r="H1227">
        <v>1</v>
      </c>
    </row>
    <row r="1228" spans="2:8">
      <c r="B1228" s="3">
        <v>45626</v>
      </c>
      <c r="C1228" t="s">
        <v>49</v>
      </c>
      <c r="D1228">
        <f>VLOOKUP(C1228,成本价!$C$2:$D$99,2,0)*H1228</f>
        <v>1.975</v>
      </c>
      <c r="E1228">
        <v>9.43</v>
      </c>
      <c r="F1228">
        <v>3.5</v>
      </c>
      <c r="G1228">
        <f t="shared" si="22"/>
        <v>7.455</v>
      </c>
      <c r="H1228">
        <v>1</v>
      </c>
    </row>
    <row r="1229" spans="2:8">
      <c r="B1229" s="3">
        <v>45626</v>
      </c>
      <c r="C1229" t="s">
        <v>50</v>
      </c>
      <c r="D1229">
        <f>VLOOKUP(C1229,成本价!$C$2:$D$99,2,0)*H1229</f>
        <v>2.749</v>
      </c>
      <c r="E1229">
        <v>10.6</v>
      </c>
      <c r="F1229">
        <v>3.5</v>
      </c>
      <c r="G1229">
        <f t="shared" si="22"/>
        <v>7.851</v>
      </c>
      <c r="H1229">
        <v>1</v>
      </c>
    </row>
    <row r="1230" spans="2:8">
      <c r="B1230" s="3">
        <v>45626</v>
      </c>
      <c r="C1230" t="s">
        <v>79</v>
      </c>
      <c r="D1230">
        <f>VLOOKUP(C1230,成本价!$C$2:$D$99,2,0)*H1230</f>
        <v>12.3</v>
      </c>
      <c r="E1230">
        <f>5.23*6+6.23</f>
        <v>37.61</v>
      </c>
      <c r="F1230">
        <v>3.5</v>
      </c>
      <c r="G1230">
        <f t="shared" si="22"/>
        <v>25.31</v>
      </c>
      <c r="H1230">
        <v>1</v>
      </c>
    </row>
    <row r="1231" spans="2:8">
      <c r="B1231" s="3">
        <v>45626</v>
      </c>
      <c r="C1231" t="s">
        <v>50</v>
      </c>
      <c r="D1231">
        <f>VLOOKUP(C1231,成本价!$C$2:$D$99,2,0)*H1231</f>
        <v>2.749</v>
      </c>
      <c r="E1231">
        <v>11.51</v>
      </c>
      <c r="F1231">
        <v>3.5</v>
      </c>
      <c r="G1231">
        <f t="shared" si="22"/>
        <v>8.761</v>
      </c>
      <c r="H1231">
        <v>1</v>
      </c>
    </row>
    <row r="1232" spans="2:8">
      <c r="B1232" s="3">
        <v>45626</v>
      </c>
      <c r="C1232" t="s">
        <v>43</v>
      </c>
      <c r="D1232">
        <f>VLOOKUP(C1232,成本价!$C$2:$D$99,2,0)*H1232</f>
        <v>2.02</v>
      </c>
      <c r="E1232">
        <v>7.71</v>
      </c>
      <c r="F1232">
        <v>3.5</v>
      </c>
      <c r="G1232">
        <f t="shared" si="22"/>
        <v>5.69</v>
      </c>
      <c r="H1232">
        <v>1</v>
      </c>
    </row>
    <row r="1233" spans="2:8">
      <c r="B1233" s="3">
        <v>45626</v>
      </c>
      <c r="C1233" t="s">
        <v>36</v>
      </c>
      <c r="D1233">
        <f>VLOOKUP(C1233,成本价!$C$2:$D$99,2,0)*H1233</f>
        <v>2.32</v>
      </c>
      <c r="E1233">
        <v>7.1</v>
      </c>
      <c r="F1233">
        <v>3.5</v>
      </c>
      <c r="G1233">
        <f t="shared" si="22"/>
        <v>4.78</v>
      </c>
      <c r="H1233">
        <v>1</v>
      </c>
    </row>
    <row r="1234" spans="2:8">
      <c r="B1234" s="3">
        <v>45626</v>
      </c>
      <c r="C1234" t="s">
        <v>36</v>
      </c>
      <c r="D1234">
        <f>VLOOKUP(C1234,成本价!$C$2:$D$99,2,0)*H1234</f>
        <v>2.32</v>
      </c>
      <c r="E1234">
        <v>7.1</v>
      </c>
      <c r="F1234">
        <v>3.5</v>
      </c>
      <c r="G1234">
        <f t="shared" si="22"/>
        <v>4.78</v>
      </c>
      <c r="H1234">
        <v>1</v>
      </c>
    </row>
    <row r="1235" spans="2:8">
      <c r="B1235" s="3">
        <v>45626</v>
      </c>
      <c r="C1235" t="s">
        <v>60</v>
      </c>
      <c r="D1235">
        <f>VLOOKUP(C1235,成本价!$C$2:$D$99,2,0)*H1235</f>
        <v>5.2</v>
      </c>
      <c r="E1235">
        <v>18.04</v>
      </c>
      <c r="F1235">
        <v>3.5</v>
      </c>
      <c r="G1235">
        <f t="shared" si="22"/>
        <v>12.84</v>
      </c>
      <c r="H1235">
        <v>1</v>
      </c>
    </row>
    <row r="1236" spans="2:8">
      <c r="B1236" s="3">
        <v>45626</v>
      </c>
      <c r="C1236" t="s">
        <v>50</v>
      </c>
      <c r="D1236">
        <f>VLOOKUP(C1236,成本价!$C$2:$D$99,2,0)*H1236</f>
        <v>2.749</v>
      </c>
      <c r="E1236">
        <v>11.64</v>
      </c>
      <c r="F1236">
        <v>3.5</v>
      </c>
      <c r="G1236">
        <f t="shared" si="22"/>
        <v>8.891</v>
      </c>
      <c r="H1236">
        <v>1</v>
      </c>
    </row>
    <row r="1237" spans="2:8">
      <c r="B1237" s="3">
        <v>45626</v>
      </c>
      <c r="C1237" t="s">
        <v>12</v>
      </c>
      <c r="D1237">
        <f>VLOOKUP(C1237,成本价!$C$2:$D$99,2,0)*H1237</f>
        <v>2.709</v>
      </c>
      <c r="G1237">
        <f t="shared" si="22"/>
        <v>-2.709</v>
      </c>
      <c r="H1237">
        <v>7</v>
      </c>
    </row>
    <row r="1238" spans="2:10">
      <c r="B1238" s="3">
        <v>45626</v>
      </c>
      <c r="C1238" t="s">
        <v>79</v>
      </c>
      <c r="D1238">
        <f>VLOOKUP(C1238,成本价!$C$2:$D$99,2,0)*H1238</f>
        <v>12.3</v>
      </c>
      <c r="E1238">
        <v>30.53</v>
      </c>
      <c r="F1238">
        <v>3.5</v>
      </c>
      <c r="G1238">
        <f t="shared" ref="G1238:G1301" si="23">E1238-D1238</f>
        <v>18.23</v>
      </c>
      <c r="H1238">
        <v>1</v>
      </c>
      <c r="J1238" s="2" t="s">
        <v>74</v>
      </c>
    </row>
    <row r="1239" spans="2:10">
      <c r="B1239" s="3">
        <v>45626</v>
      </c>
      <c r="C1239" t="s">
        <v>27</v>
      </c>
      <c r="D1239">
        <f>VLOOKUP(C1239,成本价!$C$2:$D$99,2,0)*H1239</f>
        <v>1.8</v>
      </c>
      <c r="E1239">
        <v>6.9</v>
      </c>
      <c r="F1239">
        <v>3.5</v>
      </c>
      <c r="G1239">
        <f t="shared" si="23"/>
        <v>5.1</v>
      </c>
      <c r="H1239">
        <v>1</v>
      </c>
      <c r="J1239" s="2" t="s">
        <v>74</v>
      </c>
    </row>
    <row r="1240" spans="2:10">
      <c r="B1240" s="3">
        <v>45626</v>
      </c>
      <c r="C1240" t="s">
        <v>65</v>
      </c>
      <c r="D1240">
        <f>VLOOKUP(C1240,成本价!$C$2:$D$99,2,0)*H1240</f>
        <v>5.3</v>
      </c>
      <c r="E1240">
        <v>15.63</v>
      </c>
      <c r="F1240">
        <v>3.5</v>
      </c>
      <c r="G1240">
        <f t="shared" si="23"/>
        <v>10.33</v>
      </c>
      <c r="H1240">
        <v>1</v>
      </c>
      <c r="J1240" s="2" t="s">
        <v>74</v>
      </c>
    </row>
    <row r="1241" spans="2:10">
      <c r="B1241" s="3">
        <v>45626</v>
      </c>
      <c r="C1241" t="s">
        <v>90</v>
      </c>
      <c r="D1241">
        <f>VLOOKUP(C1241,成本价!$C$2:$D$99,2,0)*H1241</f>
        <v>7.8</v>
      </c>
      <c r="G1241">
        <f t="shared" si="23"/>
        <v>-7.8</v>
      </c>
      <c r="H1241">
        <v>3</v>
      </c>
      <c r="J1241" s="2"/>
    </row>
    <row r="1242" spans="2:9">
      <c r="B1242" s="3">
        <v>45626</v>
      </c>
      <c r="I1242">
        <f>90.32+6.61-1.97</f>
        <v>94.96</v>
      </c>
    </row>
    <row r="1243" spans="2:8">
      <c r="B1243" s="29">
        <v>45627</v>
      </c>
      <c r="C1243" t="s">
        <v>50</v>
      </c>
      <c r="D1243">
        <f>VLOOKUP(C1243,成本价!$C$2:$D$99,2,0)*H1243</f>
        <v>2.749</v>
      </c>
      <c r="E1243">
        <v>11.64</v>
      </c>
      <c r="F1243">
        <v>70</v>
      </c>
      <c r="G1243">
        <f t="shared" si="23"/>
        <v>8.891</v>
      </c>
      <c r="H1243">
        <v>1</v>
      </c>
    </row>
    <row r="1244" spans="2:8">
      <c r="B1244" s="3">
        <v>45627</v>
      </c>
      <c r="C1244" t="s">
        <v>71</v>
      </c>
      <c r="D1244">
        <f>VLOOKUP(C1244,成本价!$C$2:$D$99,2,0)*H1244</f>
        <v>3.573</v>
      </c>
      <c r="E1244">
        <v>12.41</v>
      </c>
      <c r="G1244">
        <f t="shared" si="23"/>
        <v>8.837</v>
      </c>
      <c r="H1244">
        <v>3</v>
      </c>
    </row>
    <row r="1245" spans="2:8">
      <c r="B1245" s="3">
        <v>45627</v>
      </c>
      <c r="C1245" t="s">
        <v>55</v>
      </c>
      <c r="D1245">
        <f>VLOOKUP(C1245,成本价!$C$2:$D$99,2,0)*H1245</f>
        <v>3.513</v>
      </c>
      <c r="E1245">
        <v>12.49</v>
      </c>
      <c r="G1245">
        <f t="shared" si="23"/>
        <v>8.977</v>
      </c>
      <c r="H1245">
        <v>3</v>
      </c>
    </row>
    <row r="1246" spans="2:8">
      <c r="B1246" s="3">
        <v>45627</v>
      </c>
      <c r="C1246" t="s">
        <v>50</v>
      </c>
      <c r="D1246">
        <f>VLOOKUP(C1246,成本价!$C$2:$D$99,2,0)*H1246</f>
        <v>2.749</v>
      </c>
      <c r="E1246">
        <v>11.64</v>
      </c>
      <c r="G1246">
        <f t="shared" si="23"/>
        <v>8.891</v>
      </c>
      <c r="H1246">
        <v>1</v>
      </c>
    </row>
    <row r="1247" spans="2:8">
      <c r="B1247" s="3">
        <v>45627</v>
      </c>
      <c r="C1247" t="s">
        <v>81</v>
      </c>
      <c r="D1247">
        <f>VLOOKUP(C1247,成本价!$C$2:$D$99,2,0)*H1247</f>
        <v>16.92</v>
      </c>
      <c r="E1247">
        <v>18.23</v>
      </c>
      <c r="G1247">
        <f t="shared" si="23"/>
        <v>1.31</v>
      </c>
      <c r="H1247">
        <v>3</v>
      </c>
    </row>
    <row r="1248" spans="2:8">
      <c r="B1248" s="3">
        <v>45627</v>
      </c>
      <c r="C1248" t="s">
        <v>50</v>
      </c>
      <c r="D1248">
        <f>VLOOKUP(C1248,成本价!$C$2:$D$99,2,0)*H1248</f>
        <v>2.749</v>
      </c>
      <c r="E1248">
        <v>11.64</v>
      </c>
      <c r="G1248">
        <f t="shared" si="23"/>
        <v>8.891</v>
      </c>
      <c r="H1248">
        <v>1</v>
      </c>
    </row>
    <row r="1249" spans="2:8">
      <c r="B1249" s="3">
        <v>45627</v>
      </c>
      <c r="C1249" t="s">
        <v>60</v>
      </c>
      <c r="D1249">
        <f>VLOOKUP(C1249,成本价!$C$2:$D$99,2,0)*H1249</f>
        <v>5.2</v>
      </c>
      <c r="E1249">
        <f>17.6+6</f>
        <v>23.6</v>
      </c>
      <c r="G1249">
        <f t="shared" si="23"/>
        <v>18.4</v>
      </c>
      <c r="H1249">
        <v>1</v>
      </c>
    </row>
    <row r="1250" spans="2:8">
      <c r="B1250" s="3">
        <v>45627</v>
      </c>
      <c r="C1250" t="s">
        <v>80</v>
      </c>
      <c r="D1250">
        <f>VLOOKUP(C1250,成本价!$C$2:$D$99,2,0)*H1250</f>
        <v>8.1</v>
      </c>
      <c r="E1250">
        <v>18.23</v>
      </c>
      <c r="G1250">
        <f t="shared" si="23"/>
        <v>10.13</v>
      </c>
      <c r="H1250">
        <v>1</v>
      </c>
    </row>
    <row r="1251" spans="2:8">
      <c r="B1251" s="3">
        <v>45627</v>
      </c>
      <c r="C1251" t="s">
        <v>27</v>
      </c>
      <c r="D1251">
        <f>VLOOKUP(C1251,成本价!$C$2:$D$99,2,0)*H1251</f>
        <v>3.6</v>
      </c>
      <c r="E1251">
        <f>6.17+6.18</f>
        <v>12.35</v>
      </c>
      <c r="G1251">
        <f t="shared" si="23"/>
        <v>8.75</v>
      </c>
      <c r="H1251">
        <v>2</v>
      </c>
    </row>
    <row r="1252" spans="2:8">
      <c r="B1252" s="3">
        <v>45627</v>
      </c>
      <c r="C1252" t="s">
        <v>56</v>
      </c>
      <c r="D1252">
        <f>VLOOKUP(C1252,成本价!$C$2:$D$99,2,0)*H1252</f>
        <v>3.483</v>
      </c>
      <c r="E1252">
        <v>13.39</v>
      </c>
      <c r="G1252">
        <f t="shared" si="23"/>
        <v>9.907</v>
      </c>
      <c r="H1252">
        <v>3</v>
      </c>
    </row>
    <row r="1253" spans="2:8">
      <c r="B1253" s="3">
        <v>45627</v>
      </c>
      <c r="C1253" t="s">
        <v>76</v>
      </c>
      <c r="D1253">
        <f>VLOOKUP(C1253,成本价!$C$2:$D$99,2,0)*H1253</f>
        <v>1.7856</v>
      </c>
      <c r="E1253">
        <v>11.2</v>
      </c>
      <c r="G1253">
        <f t="shared" si="23"/>
        <v>9.4144</v>
      </c>
      <c r="H1253">
        <v>1</v>
      </c>
    </row>
    <row r="1254" spans="2:8">
      <c r="B1254" s="3">
        <v>45627</v>
      </c>
      <c r="C1254" t="s">
        <v>63</v>
      </c>
      <c r="D1254">
        <f>VLOOKUP(C1254,成本价!$C$2:$D$99,2,0)*H1254</f>
        <v>5.1</v>
      </c>
      <c r="E1254">
        <v>18.05</v>
      </c>
      <c r="G1254">
        <f t="shared" si="23"/>
        <v>12.95</v>
      </c>
      <c r="H1254">
        <v>1</v>
      </c>
    </row>
    <row r="1255" spans="2:8">
      <c r="B1255" s="3">
        <v>45627</v>
      </c>
      <c r="C1255" t="s">
        <v>90</v>
      </c>
      <c r="D1255">
        <f>VLOOKUP(C1255,成本价!$C$2:$D$99,2,0)*H1255</f>
        <v>7.8</v>
      </c>
      <c r="G1255">
        <f t="shared" si="23"/>
        <v>-7.8</v>
      </c>
      <c r="H1255">
        <v>3</v>
      </c>
    </row>
    <row r="1256" spans="2:8">
      <c r="B1256" s="3">
        <v>45627</v>
      </c>
      <c r="C1256" t="s">
        <v>40</v>
      </c>
      <c r="D1256">
        <f>VLOOKUP(C1256,成本价!$C$2:$D$99,2,0)*H1256</f>
        <v>5.64</v>
      </c>
      <c r="E1256">
        <f>7.89+5.89</f>
        <v>13.78</v>
      </c>
      <c r="G1256">
        <f t="shared" si="23"/>
        <v>8.14</v>
      </c>
      <c r="H1256">
        <v>3</v>
      </c>
    </row>
    <row r="1257" spans="2:8">
      <c r="B1257" s="3">
        <v>45627</v>
      </c>
      <c r="C1257" t="s">
        <v>36</v>
      </c>
      <c r="D1257">
        <f>VLOOKUP(C1257,成本价!$C$2:$D$99,2,0)*H1257</f>
        <v>3.48</v>
      </c>
      <c r="E1257">
        <v>5.89</v>
      </c>
      <c r="G1257">
        <f t="shared" si="23"/>
        <v>2.41</v>
      </c>
      <c r="H1257">
        <v>1.5</v>
      </c>
    </row>
    <row r="1258" spans="2:8">
      <c r="B1258" s="3">
        <v>45627</v>
      </c>
      <c r="C1258" t="s">
        <v>59</v>
      </c>
      <c r="D1258">
        <f>VLOOKUP(C1258,成本价!$C$2:$D$99,2,0)*H1258</f>
        <v>8.7</v>
      </c>
      <c r="E1258">
        <v>29.9</v>
      </c>
      <c r="G1258">
        <f t="shared" si="23"/>
        <v>21.2</v>
      </c>
      <c r="H1258">
        <v>1</v>
      </c>
    </row>
    <row r="1259" spans="2:8">
      <c r="B1259" s="3">
        <v>45627</v>
      </c>
      <c r="C1259" t="s">
        <v>50</v>
      </c>
      <c r="D1259">
        <f>VLOOKUP(C1259,成本价!$C$2:$D$99,2,0)*H1259</f>
        <v>2.749</v>
      </c>
      <c r="E1259">
        <v>11.62</v>
      </c>
      <c r="G1259">
        <f t="shared" si="23"/>
        <v>8.871</v>
      </c>
      <c r="H1259">
        <v>1</v>
      </c>
    </row>
    <row r="1260" spans="2:8">
      <c r="B1260" s="3">
        <v>45627</v>
      </c>
      <c r="C1260" t="s">
        <v>60</v>
      </c>
      <c r="D1260">
        <f>VLOOKUP(C1260,成本价!$C$2:$D$99,2,0)*H1260</f>
        <v>5.2</v>
      </c>
      <c r="E1260">
        <v>18.05</v>
      </c>
      <c r="G1260">
        <f t="shared" si="23"/>
        <v>12.85</v>
      </c>
      <c r="H1260">
        <v>1</v>
      </c>
    </row>
    <row r="1261" spans="2:8">
      <c r="B1261" s="3">
        <v>45627</v>
      </c>
      <c r="C1261" t="s">
        <v>58</v>
      </c>
      <c r="D1261">
        <f>VLOOKUP(C1261,成本价!$C$2:$D$99,2,0)*H1261</f>
        <v>8.4</v>
      </c>
      <c r="E1261">
        <v>18.22</v>
      </c>
      <c r="G1261">
        <f t="shared" si="23"/>
        <v>9.82</v>
      </c>
      <c r="H1261">
        <v>1</v>
      </c>
    </row>
    <row r="1262" spans="2:8">
      <c r="B1262" s="3">
        <v>45627</v>
      </c>
      <c r="C1262" t="s">
        <v>45</v>
      </c>
      <c r="D1262">
        <f>VLOOKUP(C1262,成本价!$C$2:$D$99,2,0)*H1262</f>
        <v>9.6</v>
      </c>
      <c r="E1262">
        <v>25.04</v>
      </c>
      <c r="G1262">
        <f t="shared" si="23"/>
        <v>15.44</v>
      </c>
      <c r="H1262">
        <v>4</v>
      </c>
    </row>
    <row r="1263" spans="2:8">
      <c r="B1263" s="3">
        <v>45627</v>
      </c>
      <c r="C1263" t="s">
        <v>46</v>
      </c>
      <c r="D1263">
        <f>VLOOKUP(C1263,成本价!$C$2:$D$99,2,0)*H1263</f>
        <v>2.7</v>
      </c>
      <c r="E1263">
        <v>0</v>
      </c>
      <c r="G1263">
        <f t="shared" si="23"/>
        <v>-2.7</v>
      </c>
      <c r="H1263">
        <v>1</v>
      </c>
    </row>
    <row r="1264" spans="2:8">
      <c r="B1264" s="3">
        <v>45627</v>
      </c>
      <c r="C1264" t="s">
        <v>36</v>
      </c>
      <c r="D1264">
        <f>VLOOKUP(C1264,成本价!$C$2:$D$99,2,0)*H1264</f>
        <v>3.48</v>
      </c>
      <c r="E1264">
        <v>5.89</v>
      </c>
      <c r="G1264">
        <f t="shared" si="23"/>
        <v>2.41</v>
      </c>
      <c r="H1264">
        <v>1.5</v>
      </c>
    </row>
    <row r="1265" spans="2:10">
      <c r="B1265" s="3">
        <v>45627</v>
      </c>
      <c r="C1265" t="s">
        <v>64</v>
      </c>
      <c r="D1265">
        <f>VLOOKUP(C1265,成本价!$C$2:$D$99,2,0)*H1265</f>
        <v>6.38</v>
      </c>
      <c r="E1265">
        <v>24.27</v>
      </c>
      <c r="G1265">
        <f t="shared" si="23"/>
        <v>17.89</v>
      </c>
      <c r="H1265">
        <v>1</v>
      </c>
      <c r="J1265" s="2" t="s">
        <v>74</v>
      </c>
    </row>
    <row r="1266" spans="2:10">
      <c r="B1266" s="3">
        <v>45627</v>
      </c>
      <c r="C1266" t="s">
        <v>23</v>
      </c>
      <c r="D1266">
        <f>VLOOKUP(C1266,成本价!$C$2:$D$99,2,0)*H1266</f>
        <v>2.08</v>
      </c>
      <c r="E1266">
        <v>0</v>
      </c>
      <c r="G1266">
        <f t="shared" si="23"/>
        <v>-2.08</v>
      </c>
      <c r="H1266">
        <v>1</v>
      </c>
      <c r="J1266" s="2" t="s">
        <v>74</v>
      </c>
    </row>
    <row r="1267" spans="2:9">
      <c r="B1267" s="3">
        <v>45627</v>
      </c>
      <c r="I1267">
        <f>146.4+1.97-8.05</f>
        <v>140.32</v>
      </c>
    </row>
    <row r="1268" spans="2:8">
      <c r="B1268" s="29">
        <v>45628</v>
      </c>
      <c r="C1268" t="s">
        <v>57</v>
      </c>
      <c r="D1268">
        <f>VLOOKUP(C1268,成本价!$C$2:$D$99,2,0)*H1268</f>
        <v>8.9</v>
      </c>
      <c r="E1268">
        <v>28.82</v>
      </c>
      <c r="F1268">
        <v>91</v>
      </c>
      <c r="G1268">
        <f t="shared" si="23"/>
        <v>19.92</v>
      </c>
      <c r="H1268">
        <v>1</v>
      </c>
    </row>
    <row r="1269" spans="2:8">
      <c r="B1269" s="3">
        <v>45628</v>
      </c>
      <c r="C1269" t="s">
        <v>90</v>
      </c>
      <c r="D1269">
        <f>VLOOKUP(C1269,成本价!$C$2:$D$99,2,0)*H1269</f>
        <v>2.6</v>
      </c>
      <c r="G1269">
        <f t="shared" si="23"/>
        <v>-2.6</v>
      </c>
      <c r="H1269">
        <v>1</v>
      </c>
    </row>
    <row r="1270" spans="2:8">
      <c r="B1270" s="3">
        <v>45628</v>
      </c>
      <c r="C1270" t="s">
        <v>50</v>
      </c>
      <c r="D1270">
        <f>VLOOKUP(C1270,成本价!$C$2:$D$99,2,0)*H1270</f>
        <v>2.749</v>
      </c>
      <c r="E1270">
        <v>11.62</v>
      </c>
      <c r="G1270">
        <f t="shared" si="23"/>
        <v>8.871</v>
      </c>
      <c r="H1270">
        <v>1</v>
      </c>
    </row>
    <row r="1271" spans="2:8">
      <c r="B1271" s="3">
        <v>45628</v>
      </c>
      <c r="C1271" t="s">
        <v>70</v>
      </c>
      <c r="D1271">
        <f>VLOOKUP(C1271,成本价!$C$2:$D$99,2,0)*H1271</f>
        <v>13.72</v>
      </c>
      <c r="E1271">
        <v>38.36</v>
      </c>
      <c r="G1271">
        <f t="shared" si="23"/>
        <v>24.64</v>
      </c>
      <c r="H1271">
        <v>1</v>
      </c>
    </row>
    <row r="1272" spans="2:8">
      <c r="B1272" s="3">
        <v>45628</v>
      </c>
      <c r="C1272" t="s">
        <v>91</v>
      </c>
      <c r="D1272">
        <f>VLOOKUP(C1272,成本价!$C$2:$D$99,2,0)*H1272</f>
        <v>3</v>
      </c>
      <c r="G1272">
        <f t="shared" si="23"/>
        <v>-3</v>
      </c>
      <c r="H1272">
        <v>1</v>
      </c>
    </row>
    <row r="1273" spans="2:8">
      <c r="B1273" s="3">
        <v>45628</v>
      </c>
      <c r="C1273" t="s">
        <v>23</v>
      </c>
      <c r="D1273">
        <f>VLOOKUP(C1273,成本价!$C$2:$D$99,2,0)*H1273</f>
        <v>2.08</v>
      </c>
      <c r="E1273">
        <v>6.3</v>
      </c>
      <c r="G1273">
        <f t="shared" si="23"/>
        <v>4.22</v>
      </c>
      <c r="H1273">
        <v>1</v>
      </c>
    </row>
    <row r="1274" spans="2:8">
      <c r="B1274" s="3">
        <v>45628</v>
      </c>
      <c r="C1274" t="s">
        <v>87</v>
      </c>
      <c r="D1274">
        <f>VLOOKUP(C1274,成本价!$C$2:$D$99,2,0)*H1274</f>
        <v>0.765</v>
      </c>
      <c r="E1274">
        <v>6.49</v>
      </c>
      <c r="G1274">
        <f t="shared" si="23"/>
        <v>5.725</v>
      </c>
      <c r="H1274">
        <v>6</v>
      </c>
    </row>
    <row r="1275" spans="2:8">
      <c r="B1275" s="3">
        <v>45628</v>
      </c>
      <c r="C1275" t="s">
        <v>88</v>
      </c>
      <c r="D1275">
        <f>VLOOKUP(C1275,成本价!$C$2:$D$99,2,0)*H1275</f>
        <v>0.405</v>
      </c>
      <c r="E1275">
        <v>0</v>
      </c>
      <c r="G1275">
        <f t="shared" si="23"/>
        <v>-0.405</v>
      </c>
      <c r="H1275">
        <v>3</v>
      </c>
    </row>
    <row r="1276" spans="2:8">
      <c r="B1276" s="3">
        <v>45628</v>
      </c>
      <c r="C1276" t="s">
        <v>77</v>
      </c>
      <c r="D1276">
        <f>VLOOKUP(C1276,成本价!$C$2:$D$99,2,0)*H1276</f>
        <v>0.4032</v>
      </c>
      <c r="E1276">
        <v>6.83</v>
      </c>
      <c r="G1276">
        <f t="shared" si="23"/>
        <v>6.4268</v>
      </c>
      <c r="H1276">
        <v>1</v>
      </c>
    </row>
    <row r="1277" spans="2:8">
      <c r="B1277" s="3">
        <v>45628</v>
      </c>
      <c r="C1277" t="s">
        <v>93</v>
      </c>
      <c r="D1277">
        <f>VLOOKUP(C1277,成本价!$C$2:$D$99,2,0)*H1277</f>
        <v>4.77</v>
      </c>
      <c r="E1277">
        <v>11.26</v>
      </c>
      <c r="G1277">
        <f t="shared" si="23"/>
        <v>6.49</v>
      </c>
      <c r="H1277">
        <v>1</v>
      </c>
    </row>
    <row r="1278" spans="2:8">
      <c r="B1278" s="3">
        <v>45628</v>
      </c>
      <c r="C1278" t="s">
        <v>44</v>
      </c>
      <c r="D1278">
        <f>VLOOKUP(C1278,成本价!$C$2:$D$99,2,0)*H1278</f>
        <v>1.985</v>
      </c>
      <c r="E1278">
        <v>10.34</v>
      </c>
      <c r="G1278">
        <f t="shared" si="23"/>
        <v>8.355</v>
      </c>
      <c r="H1278">
        <v>5</v>
      </c>
    </row>
    <row r="1279" spans="2:8">
      <c r="B1279" s="3">
        <v>45628</v>
      </c>
      <c r="C1279" t="s">
        <v>49</v>
      </c>
      <c r="D1279">
        <f>VLOOKUP(C1279,成本价!$C$2:$D$99,2,0)*H1279</f>
        <v>1.975</v>
      </c>
      <c r="E1279">
        <v>10.34</v>
      </c>
      <c r="G1279">
        <f t="shared" si="23"/>
        <v>8.365</v>
      </c>
      <c r="H1279">
        <v>1</v>
      </c>
    </row>
    <row r="1280" spans="2:8">
      <c r="B1280" s="3">
        <v>45628</v>
      </c>
      <c r="C1280" t="s">
        <v>50</v>
      </c>
      <c r="D1280">
        <f>VLOOKUP(C1280,成本价!$C$2:$D$99,2,0)*H1280</f>
        <v>2.749</v>
      </c>
      <c r="E1280">
        <v>11.62</v>
      </c>
      <c r="G1280">
        <f t="shared" si="23"/>
        <v>8.871</v>
      </c>
      <c r="H1280">
        <v>1</v>
      </c>
    </row>
    <row r="1281" spans="2:8">
      <c r="B1281" s="3">
        <v>45628</v>
      </c>
      <c r="C1281" t="s">
        <v>16</v>
      </c>
      <c r="D1281">
        <f>VLOOKUP(C1281,成本价!$C$2:$D$99,2,0)*H1281</f>
        <v>8.1</v>
      </c>
      <c r="E1281">
        <v>29.45</v>
      </c>
      <c r="G1281">
        <f t="shared" si="23"/>
        <v>21.35</v>
      </c>
      <c r="H1281">
        <v>3</v>
      </c>
    </row>
    <row r="1282" spans="2:8">
      <c r="B1282" s="3">
        <v>45628</v>
      </c>
      <c r="C1282" t="s">
        <v>20</v>
      </c>
      <c r="D1282">
        <f>VLOOKUP(C1282,成本价!$C$2:$D$99,2,0)*H1282</f>
        <v>6</v>
      </c>
      <c r="E1282">
        <v>0</v>
      </c>
      <c r="G1282">
        <f t="shared" si="23"/>
        <v>-6</v>
      </c>
      <c r="H1282">
        <v>2</v>
      </c>
    </row>
    <row r="1283" spans="2:8">
      <c r="B1283" s="3">
        <v>45628</v>
      </c>
      <c r="C1283" t="s">
        <v>52</v>
      </c>
      <c r="D1283">
        <f>VLOOKUP(C1283,成本价!$C$2:$D$99,2,0)*H1283</f>
        <v>10.96</v>
      </c>
      <c r="E1283">
        <v>30.2</v>
      </c>
      <c r="G1283">
        <f t="shared" si="23"/>
        <v>19.24</v>
      </c>
      <c r="H1283">
        <v>1</v>
      </c>
    </row>
    <row r="1284" spans="2:8">
      <c r="B1284" s="3">
        <v>45628</v>
      </c>
      <c r="C1284" t="s">
        <v>92</v>
      </c>
      <c r="D1284">
        <f>VLOOKUP(C1284,成本价!$C$2:$D$99,2,0)*H1284</f>
        <v>3</v>
      </c>
      <c r="G1284">
        <f t="shared" si="23"/>
        <v>-3</v>
      </c>
      <c r="H1284">
        <v>1</v>
      </c>
    </row>
    <row r="1285" spans="2:8">
      <c r="B1285" s="3">
        <v>45628</v>
      </c>
      <c r="C1285" t="s">
        <v>55</v>
      </c>
      <c r="D1285">
        <f>VLOOKUP(C1285,成本价!$C$2:$D$99,2,0)*H1285</f>
        <v>3.513</v>
      </c>
      <c r="E1285">
        <v>13.38</v>
      </c>
      <c r="G1285">
        <f t="shared" si="23"/>
        <v>9.867</v>
      </c>
      <c r="H1285">
        <v>3</v>
      </c>
    </row>
    <row r="1286" spans="2:8">
      <c r="B1286" s="3">
        <v>45628</v>
      </c>
      <c r="C1286" t="s">
        <v>58</v>
      </c>
      <c r="D1286">
        <f>VLOOKUP(C1286,成本价!$C$2:$D$99,2,0)*H1286</f>
        <v>8.4</v>
      </c>
      <c r="E1286">
        <v>18.22</v>
      </c>
      <c r="G1286">
        <f t="shared" si="23"/>
        <v>9.82</v>
      </c>
      <c r="H1286">
        <v>1</v>
      </c>
    </row>
    <row r="1287" spans="2:10">
      <c r="B1287" s="3">
        <v>45628</v>
      </c>
      <c r="C1287" t="s">
        <v>27</v>
      </c>
      <c r="D1287">
        <f>VLOOKUP(C1287,成本价!$C$2:$D$99,2,0)*H1287</f>
        <v>1.8</v>
      </c>
      <c r="E1287">
        <v>6.9</v>
      </c>
      <c r="G1287">
        <f t="shared" si="23"/>
        <v>5.1</v>
      </c>
      <c r="H1287">
        <v>1</v>
      </c>
      <c r="J1287" s="2" t="s">
        <v>74</v>
      </c>
    </row>
    <row r="1288" spans="2:9">
      <c r="B1288" s="3">
        <v>45628</v>
      </c>
      <c r="I1288">
        <f>151.1+8.05-8.48</f>
        <v>150.67</v>
      </c>
    </row>
    <row r="1289" spans="2:8">
      <c r="B1289" s="29">
        <v>45629</v>
      </c>
      <c r="C1289" t="s">
        <v>65</v>
      </c>
      <c r="D1289">
        <f>VLOOKUP(C1289,成本价!$C$2:$D$99,2,0)*H1289</f>
        <v>5.3</v>
      </c>
      <c r="E1289">
        <v>18.05</v>
      </c>
      <c r="F1289">
        <v>106</v>
      </c>
      <c r="G1289">
        <f t="shared" si="23"/>
        <v>12.75</v>
      </c>
      <c r="H1289">
        <v>1</v>
      </c>
    </row>
    <row r="1290" spans="2:8">
      <c r="B1290" s="3">
        <v>45629</v>
      </c>
      <c r="C1290" t="s">
        <v>94</v>
      </c>
      <c r="D1290">
        <f>VLOOKUP(C1290,成本价!$C$2:$D$99,2,0)*H1290</f>
        <v>3.9</v>
      </c>
      <c r="E1290">
        <v>9.57</v>
      </c>
      <c r="G1290">
        <f t="shared" si="23"/>
        <v>5.67</v>
      </c>
      <c r="H1290">
        <v>1</v>
      </c>
    </row>
    <row r="1291" spans="2:8">
      <c r="B1291" s="3">
        <v>45629</v>
      </c>
      <c r="C1291" t="s">
        <v>50</v>
      </c>
      <c r="D1291">
        <f>VLOOKUP(C1291,成本价!$C$2:$D$99,2,0)*H1291</f>
        <v>2.749</v>
      </c>
      <c r="E1291">
        <v>11.62</v>
      </c>
      <c r="G1291">
        <f t="shared" si="23"/>
        <v>8.871</v>
      </c>
      <c r="H1291">
        <v>1</v>
      </c>
    </row>
    <row r="1292" spans="2:8">
      <c r="B1292" s="3">
        <v>45629</v>
      </c>
      <c r="C1292" t="s">
        <v>93</v>
      </c>
      <c r="D1292">
        <f>VLOOKUP(C1292,成本价!$C$2:$D$99,2,0)*H1292</f>
        <v>4.77</v>
      </c>
      <c r="E1292">
        <v>11.26</v>
      </c>
      <c r="G1292">
        <f t="shared" si="23"/>
        <v>6.49</v>
      </c>
      <c r="H1292">
        <v>1</v>
      </c>
    </row>
    <row r="1293" spans="2:8">
      <c r="B1293" s="3">
        <v>45629</v>
      </c>
      <c r="C1293" t="s">
        <v>33</v>
      </c>
      <c r="D1293">
        <f>VLOOKUP(C1293,成本价!$C$2:$D$99,2,0)*H1293</f>
        <v>2.55</v>
      </c>
      <c r="E1293">
        <v>5.88</v>
      </c>
      <c r="G1293">
        <f t="shared" si="23"/>
        <v>3.33</v>
      </c>
      <c r="H1293">
        <v>1.5</v>
      </c>
    </row>
    <row r="1294" spans="2:8">
      <c r="B1294" s="3">
        <v>45629</v>
      </c>
      <c r="C1294" t="s">
        <v>55</v>
      </c>
      <c r="D1294">
        <f>VLOOKUP(C1294,成本价!$C$2:$D$99,2,0)*H1294</f>
        <v>1.171</v>
      </c>
      <c r="E1294">
        <v>13.38</v>
      </c>
      <c r="G1294">
        <f t="shared" si="23"/>
        <v>12.209</v>
      </c>
      <c r="H1294">
        <v>1</v>
      </c>
    </row>
    <row r="1295" spans="2:8">
      <c r="B1295" s="3">
        <v>45629</v>
      </c>
      <c r="C1295" t="s">
        <v>87</v>
      </c>
      <c r="D1295">
        <f>VLOOKUP(C1295,成本价!$C$2:$D$99,2,0)*H1295</f>
        <v>0.3825</v>
      </c>
      <c r="E1295">
        <v>8.99</v>
      </c>
      <c r="G1295">
        <f t="shared" si="23"/>
        <v>8.6075</v>
      </c>
      <c r="H1295">
        <v>3</v>
      </c>
    </row>
    <row r="1296" spans="2:8">
      <c r="B1296" s="3">
        <v>45629</v>
      </c>
      <c r="C1296" t="s">
        <v>88</v>
      </c>
      <c r="D1296">
        <f>VLOOKUP(C1296,成本价!$C$2:$D$99,2,0)*H1296</f>
        <v>1.215</v>
      </c>
      <c r="E1296">
        <v>0</v>
      </c>
      <c r="G1296">
        <f t="shared" si="23"/>
        <v>-1.215</v>
      </c>
      <c r="H1296">
        <v>9</v>
      </c>
    </row>
    <row r="1297" spans="2:8">
      <c r="B1297" s="3">
        <v>45629</v>
      </c>
      <c r="C1297" t="s">
        <v>87</v>
      </c>
      <c r="D1297">
        <f>VLOOKUP(C1297,成本价!$C$2:$D$99,2,0)*H1297</f>
        <v>0.1275</v>
      </c>
      <c r="E1297">
        <v>6.49</v>
      </c>
      <c r="G1297">
        <f t="shared" si="23"/>
        <v>6.3625</v>
      </c>
      <c r="H1297">
        <v>1</v>
      </c>
    </row>
    <row r="1298" spans="2:8">
      <c r="B1298" s="3">
        <v>45629</v>
      </c>
      <c r="C1298" t="s">
        <v>88</v>
      </c>
      <c r="D1298">
        <f>VLOOKUP(C1298,成本价!$C$2:$D$99,2,0)*H1298</f>
        <v>0.135</v>
      </c>
      <c r="E1298">
        <v>0</v>
      </c>
      <c r="G1298">
        <f t="shared" si="23"/>
        <v>-0.135</v>
      </c>
      <c r="H1298">
        <v>1</v>
      </c>
    </row>
    <row r="1299" spans="2:8">
      <c r="B1299" s="3">
        <v>45629</v>
      </c>
      <c r="C1299" t="s">
        <v>51</v>
      </c>
      <c r="D1299">
        <f>VLOOKUP(C1299,成本价!$C$2:$D$99,2,0)*H1299</f>
        <v>9</v>
      </c>
      <c r="E1299">
        <v>18.22</v>
      </c>
      <c r="G1299">
        <f t="shared" si="23"/>
        <v>9.22</v>
      </c>
      <c r="H1299">
        <v>1</v>
      </c>
    </row>
    <row r="1300" spans="2:8">
      <c r="B1300" s="3">
        <v>45629</v>
      </c>
      <c r="C1300" t="s">
        <v>95</v>
      </c>
      <c r="D1300">
        <f>VLOOKUP(C1300,成本价!$C$2:$D$99,2,0)*H1300</f>
        <v>2.4</v>
      </c>
      <c r="E1300">
        <v>8.13</v>
      </c>
      <c r="G1300">
        <f t="shared" si="23"/>
        <v>5.73</v>
      </c>
      <c r="H1300">
        <v>1</v>
      </c>
    </row>
    <row r="1301" spans="2:8">
      <c r="B1301" s="3">
        <v>45629</v>
      </c>
      <c r="C1301" t="s">
        <v>55</v>
      </c>
      <c r="D1301">
        <f>VLOOKUP(C1301,成本价!$C$2:$D$99,2,0)*H1301</f>
        <v>3.513</v>
      </c>
      <c r="E1301">
        <v>13.38</v>
      </c>
      <c r="G1301">
        <f t="shared" si="23"/>
        <v>9.867</v>
      </c>
      <c r="H1301">
        <v>3</v>
      </c>
    </row>
    <row r="1302" spans="2:8">
      <c r="B1302" s="3">
        <v>45629</v>
      </c>
      <c r="C1302" t="s">
        <v>87</v>
      </c>
      <c r="D1302">
        <f>VLOOKUP(C1302,成本价!$C$2:$D$99,2,0)*H1302</f>
        <v>0.765</v>
      </c>
      <c r="E1302">
        <v>6.49</v>
      </c>
      <c r="G1302">
        <f t="shared" ref="G1302:G1365" si="24">E1302-D1302</f>
        <v>5.725</v>
      </c>
      <c r="H1302">
        <v>6</v>
      </c>
    </row>
    <row r="1303" spans="2:8">
      <c r="B1303" s="3">
        <v>45629</v>
      </c>
      <c r="C1303" t="s">
        <v>88</v>
      </c>
      <c r="D1303">
        <f>VLOOKUP(C1303,成本价!$C$2:$D$99,2,0)*H1303</f>
        <v>0.405</v>
      </c>
      <c r="E1303">
        <v>0</v>
      </c>
      <c r="G1303">
        <f t="shared" si="24"/>
        <v>-0.405</v>
      </c>
      <c r="H1303">
        <v>3</v>
      </c>
    </row>
    <row r="1304" spans="2:8">
      <c r="B1304" s="3">
        <v>45629</v>
      </c>
      <c r="C1304" t="s">
        <v>96</v>
      </c>
      <c r="D1304">
        <f>VLOOKUP(C1304,成本价!$C$2:$D$99,2,0)*H1304</f>
        <v>10.2</v>
      </c>
      <c r="E1304">
        <v>15.98</v>
      </c>
      <c r="G1304">
        <f t="shared" si="24"/>
        <v>5.78</v>
      </c>
      <c r="H1304">
        <v>2</v>
      </c>
    </row>
    <row r="1305" spans="2:8">
      <c r="B1305" s="3">
        <v>45629</v>
      </c>
      <c r="C1305" t="s">
        <v>33</v>
      </c>
      <c r="D1305">
        <f>VLOOKUP(C1305,成本价!$C$2:$D$99,2,0)*H1305</f>
        <v>1.7</v>
      </c>
      <c r="E1305">
        <v>6.39</v>
      </c>
      <c r="G1305">
        <f t="shared" si="24"/>
        <v>4.69</v>
      </c>
      <c r="H1305">
        <v>1</v>
      </c>
    </row>
    <row r="1306" spans="2:8">
      <c r="B1306" s="3">
        <v>45629</v>
      </c>
      <c r="C1306" t="s">
        <v>87</v>
      </c>
      <c r="D1306">
        <f>VLOOKUP(C1306,成本价!$C$2:$D$99,2,0)*H1306</f>
        <v>0.765</v>
      </c>
      <c r="E1306">
        <v>8.99</v>
      </c>
      <c r="G1306">
        <f t="shared" si="24"/>
        <v>8.225</v>
      </c>
      <c r="H1306">
        <v>6</v>
      </c>
    </row>
    <row r="1307" spans="2:8">
      <c r="B1307" s="3">
        <v>45629</v>
      </c>
      <c r="C1307" t="s">
        <v>88</v>
      </c>
      <c r="D1307">
        <f>VLOOKUP(C1307,成本价!$C$2:$D$99,2,0)*H1307</f>
        <v>0.81</v>
      </c>
      <c r="E1307">
        <v>0</v>
      </c>
      <c r="G1307">
        <f t="shared" si="24"/>
        <v>-0.81</v>
      </c>
      <c r="H1307">
        <v>6</v>
      </c>
    </row>
    <row r="1308" spans="2:8">
      <c r="B1308" s="3">
        <v>45629</v>
      </c>
      <c r="C1308" t="s">
        <v>55</v>
      </c>
      <c r="D1308">
        <f>VLOOKUP(C1308,成本价!$C$2:$D$99,2,0)*H1308</f>
        <v>3.513</v>
      </c>
      <c r="E1308">
        <v>13.38</v>
      </c>
      <c r="G1308">
        <f t="shared" si="24"/>
        <v>9.867</v>
      </c>
      <c r="H1308">
        <v>3</v>
      </c>
    </row>
    <row r="1309" spans="2:8">
      <c r="B1309" s="3">
        <v>45629</v>
      </c>
      <c r="C1309" t="s">
        <v>60</v>
      </c>
      <c r="D1309">
        <f>VLOOKUP(C1309,成本价!$C$2:$D$99,2,0)*H1309</f>
        <v>5.2</v>
      </c>
      <c r="E1309">
        <v>16.5</v>
      </c>
      <c r="G1309">
        <f t="shared" si="24"/>
        <v>11.3</v>
      </c>
      <c r="H1309">
        <v>1</v>
      </c>
    </row>
    <row r="1310" spans="2:8">
      <c r="B1310" s="3">
        <v>45629</v>
      </c>
      <c r="C1310" t="s">
        <v>59</v>
      </c>
      <c r="D1310">
        <f>VLOOKUP(C1310,成本价!$C$2:$D$99,2,0)*H1310</f>
        <v>8.7</v>
      </c>
      <c r="E1310">
        <v>29.9</v>
      </c>
      <c r="G1310">
        <f t="shared" si="24"/>
        <v>21.2</v>
      </c>
      <c r="H1310">
        <v>1</v>
      </c>
    </row>
    <row r="1311" spans="2:8">
      <c r="B1311" s="3">
        <v>45629</v>
      </c>
      <c r="C1311" t="s">
        <v>90</v>
      </c>
      <c r="D1311">
        <f>VLOOKUP(C1311,成本价!$C$2:$D$99,2,0)*H1311</f>
        <v>2.6</v>
      </c>
      <c r="G1311">
        <f t="shared" si="24"/>
        <v>-2.6</v>
      </c>
      <c r="H1311">
        <v>1</v>
      </c>
    </row>
    <row r="1312" spans="2:8">
      <c r="B1312" s="3">
        <v>45629</v>
      </c>
      <c r="C1312" t="s">
        <v>94</v>
      </c>
      <c r="D1312">
        <f>VLOOKUP(C1312,成本价!$C$2:$D$99,2,0)*H1312</f>
        <v>7.8</v>
      </c>
      <c r="E1312">
        <v>19</v>
      </c>
      <c r="G1312">
        <f t="shared" si="24"/>
        <v>11.2</v>
      </c>
      <c r="H1312">
        <v>2</v>
      </c>
    </row>
    <row r="1313" spans="2:8">
      <c r="B1313" s="3">
        <v>45629</v>
      </c>
      <c r="C1313" t="s">
        <v>61</v>
      </c>
      <c r="D1313">
        <f>VLOOKUP(C1313,成本价!$C$2:$D$99,2,0)*H1313</f>
        <v>20.1</v>
      </c>
      <c r="E1313">
        <v>37.8</v>
      </c>
      <c r="G1313">
        <f t="shared" si="24"/>
        <v>17.7</v>
      </c>
      <c r="H1313">
        <v>1</v>
      </c>
    </row>
    <row r="1314" spans="2:8">
      <c r="B1314" s="3">
        <v>45629</v>
      </c>
      <c r="C1314" t="s">
        <v>40</v>
      </c>
      <c r="D1314">
        <f>VLOOKUP(C1314,成本价!$C$2:$D$99,2,0)*H1314</f>
        <v>5.64</v>
      </c>
      <c r="E1314">
        <f>5.34+5.34</f>
        <v>10.68</v>
      </c>
      <c r="G1314">
        <f t="shared" si="24"/>
        <v>5.04</v>
      </c>
      <c r="H1314">
        <v>3</v>
      </c>
    </row>
    <row r="1315" spans="2:8">
      <c r="B1315" s="3">
        <v>45629</v>
      </c>
      <c r="C1315" t="s">
        <v>50</v>
      </c>
      <c r="D1315">
        <f>VLOOKUP(C1315,成本价!$C$2:$D$99,2,0)*H1315</f>
        <v>2.749</v>
      </c>
      <c r="E1315">
        <v>10.48</v>
      </c>
      <c r="G1315">
        <f t="shared" si="24"/>
        <v>7.731</v>
      </c>
      <c r="H1315">
        <v>1</v>
      </c>
    </row>
    <row r="1316" spans="2:8">
      <c r="B1316" s="3">
        <v>45629</v>
      </c>
      <c r="C1316" t="s">
        <v>93</v>
      </c>
      <c r="D1316">
        <f>VLOOKUP(C1316,成本价!$C$2:$D$99,2,0)*H1316</f>
        <v>4.77</v>
      </c>
      <c r="E1316">
        <v>10.29</v>
      </c>
      <c r="G1316">
        <f t="shared" si="24"/>
        <v>5.52</v>
      </c>
      <c r="H1316">
        <v>1</v>
      </c>
    </row>
    <row r="1317" spans="2:8">
      <c r="B1317" s="3">
        <v>45629</v>
      </c>
      <c r="C1317" t="s">
        <v>97</v>
      </c>
      <c r="D1317">
        <f>VLOOKUP(C1317,成本价!$C$2:$D$99,2,0)*H1317</f>
        <v>4.5</v>
      </c>
      <c r="E1317">
        <v>10</v>
      </c>
      <c r="G1317">
        <f t="shared" si="24"/>
        <v>5.5</v>
      </c>
      <c r="H1317">
        <v>1</v>
      </c>
    </row>
    <row r="1318" spans="2:8">
      <c r="B1318" s="3">
        <v>45629</v>
      </c>
      <c r="C1318" t="s">
        <v>79</v>
      </c>
      <c r="D1318">
        <f>VLOOKUP(C1318,成本价!$C$2:$D$99,2,0)*H1318</f>
        <v>12.3</v>
      </c>
      <c r="E1318">
        <v>27.9</v>
      </c>
      <c r="G1318">
        <f t="shared" si="24"/>
        <v>15.6</v>
      </c>
      <c r="H1318">
        <v>1</v>
      </c>
    </row>
    <row r="1319" spans="2:8">
      <c r="B1319" s="3">
        <v>45629</v>
      </c>
      <c r="C1319" t="s">
        <v>90</v>
      </c>
      <c r="D1319">
        <f>VLOOKUP(C1319,成本价!$C$2:$D$99,2,0)*H1319</f>
        <v>2.6</v>
      </c>
      <c r="G1319">
        <f t="shared" si="24"/>
        <v>-2.6</v>
      </c>
      <c r="H1319">
        <v>1</v>
      </c>
    </row>
    <row r="1320" spans="2:8">
      <c r="B1320" s="3">
        <v>45629</v>
      </c>
      <c r="C1320" t="s">
        <v>78</v>
      </c>
      <c r="D1320">
        <f>VLOOKUP(C1320,成本价!$C$2:$D$99,2,0)*H1320</f>
        <v>0.1728</v>
      </c>
      <c r="E1320">
        <v>4.93</v>
      </c>
      <c r="G1320">
        <f t="shared" si="24"/>
        <v>4.7572</v>
      </c>
      <c r="H1320">
        <v>1</v>
      </c>
    </row>
    <row r="1321" spans="2:8">
      <c r="B1321" s="3">
        <v>45629</v>
      </c>
      <c r="C1321" t="s">
        <v>78</v>
      </c>
      <c r="D1321">
        <f>VLOOKUP(C1321,成本价!$C$2:$D$99,2,0)*H1321</f>
        <v>0.1728</v>
      </c>
      <c r="E1321">
        <v>4.93</v>
      </c>
      <c r="G1321">
        <f t="shared" si="24"/>
        <v>4.7572</v>
      </c>
      <c r="H1321">
        <v>1</v>
      </c>
    </row>
    <row r="1322" spans="2:8">
      <c r="B1322" s="3">
        <v>45629</v>
      </c>
      <c r="C1322" t="s">
        <v>88</v>
      </c>
      <c r="D1322">
        <f>VLOOKUP(C1322,成本价!$C$2:$D$99,2,0)*H1322</f>
        <v>1.215</v>
      </c>
      <c r="E1322">
        <v>6.49</v>
      </c>
      <c r="G1322">
        <f t="shared" si="24"/>
        <v>5.275</v>
      </c>
      <c r="H1322">
        <v>9</v>
      </c>
    </row>
    <row r="1323" spans="2:8">
      <c r="B1323" s="3">
        <v>45629</v>
      </c>
      <c r="C1323" t="s">
        <v>50</v>
      </c>
      <c r="D1323">
        <f>VLOOKUP(C1323,成本价!$C$2:$D$99,2,0)*H1323</f>
        <v>2.749</v>
      </c>
      <c r="E1323">
        <v>11.51</v>
      </c>
      <c r="G1323">
        <f t="shared" si="24"/>
        <v>8.761</v>
      </c>
      <c r="H1323">
        <v>1</v>
      </c>
    </row>
    <row r="1324" spans="2:8">
      <c r="B1324" s="3">
        <v>45629</v>
      </c>
      <c r="C1324" t="s">
        <v>79</v>
      </c>
      <c r="D1324">
        <f>VLOOKUP(C1324,成本价!$C$2:$D$99,2,0)*H1324</f>
        <v>12.3</v>
      </c>
      <c r="E1324">
        <v>36.53</v>
      </c>
      <c r="G1324">
        <f t="shared" si="24"/>
        <v>24.23</v>
      </c>
      <c r="H1324">
        <v>1</v>
      </c>
    </row>
    <row r="1325" spans="2:8">
      <c r="B1325" s="3">
        <v>45629</v>
      </c>
      <c r="C1325" t="s">
        <v>90</v>
      </c>
      <c r="D1325">
        <f>VLOOKUP(C1325,成本价!$C$2:$D$99,2,0)*H1325</f>
        <v>2.6</v>
      </c>
      <c r="G1325">
        <f t="shared" si="24"/>
        <v>-2.6</v>
      </c>
      <c r="H1325">
        <v>1</v>
      </c>
    </row>
    <row r="1326" spans="2:9">
      <c r="B1326" s="3">
        <v>45629</v>
      </c>
      <c r="I1326">
        <f>123.58+8.48-3.19</f>
        <v>128.87</v>
      </c>
    </row>
    <row r="1327" spans="2:8">
      <c r="B1327" s="29">
        <v>45630</v>
      </c>
      <c r="C1327" t="s">
        <v>94</v>
      </c>
      <c r="D1327">
        <f>VLOOKUP(C1327,成本价!$C$2:$D$99,2,0)*H1327</f>
        <v>3.9</v>
      </c>
      <c r="E1327">
        <v>8.67</v>
      </c>
      <c r="F1327">
        <v>91</v>
      </c>
      <c r="G1327">
        <f t="shared" si="24"/>
        <v>4.77</v>
      </c>
      <c r="H1327">
        <v>1</v>
      </c>
    </row>
    <row r="1328" spans="2:8">
      <c r="B1328" s="3">
        <v>45630</v>
      </c>
      <c r="C1328" t="s">
        <v>79</v>
      </c>
      <c r="D1328">
        <f>VLOOKUP(C1328,成本价!$C$2:$D$99,2,0)*H1328</f>
        <v>12.3</v>
      </c>
      <c r="E1328">
        <v>34.9</v>
      </c>
      <c r="G1328">
        <f t="shared" si="24"/>
        <v>22.6</v>
      </c>
      <c r="H1328">
        <v>1</v>
      </c>
    </row>
    <row r="1329" spans="2:8">
      <c r="B1329" s="3">
        <v>45630</v>
      </c>
      <c r="C1329" t="s">
        <v>90</v>
      </c>
      <c r="D1329">
        <f>VLOOKUP(C1329,成本价!$C$2:$D$99,2,0)*H1329</f>
        <v>2.6</v>
      </c>
      <c r="G1329">
        <f t="shared" si="24"/>
        <v>-2.6</v>
      </c>
      <c r="H1329">
        <v>1</v>
      </c>
    </row>
    <row r="1330" spans="2:8">
      <c r="B1330" s="3">
        <v>45630</v>
      </c>
      <c r="C1330" t="s">
        <v>98</v>
      </c>
      <c r="D1330">
        <f>VLOOKUP(C1330,成本价!$C$2:$D$99,2,0)*H1330</f>
        <v>10.68</v>
      </c>
      <c r="E1330">
        <v>30.2</v>
      </c>
      <c r="G1330">
        <f t="shared" si="24"/>
        <v>19.52</v>
      </c>
      <c r="H1330">
        <v>1</v>
      </c>
    </row>
    <row r="1331" spans="2:8">
      <c r="B1331" s="3">
        <v>45630</v>
      </c>
      <c r="C1331" t="s">
        <v>49</v>
      </c>
      <c r="D1331">
        <f>VLOOKUP(C1331,成本价!$C$2:$D$99,2,0)*H1331</f>
        <v>1.975</v>
      </c>
      <c r="E1331">
        <v>10.25</v>
      </c>
      <c r="G1331">
        <f t="shared" si="24"/>
        <v>8.275</v>
      </c>
      <c r="H1331">
        <v>1</v>
      </c>
    </row>
    <row r="1332" spans="2:8">
      <c r="B1332" s="3">
        <v>45630</v>
      </c>
      <c r="C1332" t="s">
        <v>87</v>
      </c>
      <c r="D1332">
        <f>VLOOKUP(C1332,成本价!$C$2:$D$99,2,0)*H1332</f>
        <v>0.3825</v>
      </c>
      <c r="E1332">
        <v>8.99</v>
      </c>
      <c r="G1332">
        <f t="shared" si="24"/>
        <v>8.6075</v>
      </c>
      <c r="H1332">
        <v>3</v>
      </c>
    </row>
    <row r="1333" spans="2:8">
      <c r="B1333" s="3">
        <v>45630</v>
      </c>
      <c r="C1333" t="s">
        <v>88</v>
      </c>
      <c r="D1333">
        <f>VLOOKUP(C1333,成本价!$C$2:$D$99,2,0)*H1333</f>
        <v>1.215</v>
      </c>
      <c r="G1333">
        <f t="shared" si="24"/>
        <v>-1.215</v>
      </c>
      <c r="H1333">
        <v>9</v>
      </c>
    </row>
    <row r="1334" spans="2:8">
      <c r="B1334" s="3">
        <v>45630</v>
      </c>
      <c r="C1334" t="s">
        <v>50</v>
      </c>
      <c r="D1334">
        <f>VLOOKUP(C1334,成本价!$C$2:$D$99,2,0)*H1334</f>
        <v>2.749</v>
      </c>
      <c r="E1334">
        <v>11.51</v>
      </c>
      <c r="G1334">
        <f t="shared" si="24"/>
        <v>8.761</v>
      </c>
      <c r="H1334">
        <v>1</v>
      </c>
    </row>
    <row r="1335" spans="2:8">
      <c r="B1335" s="3">
        <v>45630</v>
      </c>
      <c r="C1335" t="s">
        <v>97</v>
      </c>
      <c r="D1335">
        <f>VLOOKUP(C1335,成本价!$C$2:$D$99,2,0)*H1335</f>
        <v>4.5</v>
      </c>
      <c r="E1335">
        <v>7.99</v>
      </c>
      <c r="G1335">
        <f t="shared" si="24"/>
        <v>3.49</v>
      </c>
      <c r="H1335">
        <v>1</v>
      </c>
    </row>
    <row r="1336" spans="2:8">
      <c r="B1336" s="3">
        <v>45630</v>
      </c>
      <c r="C1336" t="s">
        <v>61</v>
      </c>
      <c r="D1336">
        <f>VLOOKUP(C1336,成本价!$C$2:$D$99,2,0)*H1336</f>
        <v>20.1</v>
      </c>
      <c r="E1336">
        <v>37.8</v>
      </c>
      <c r="G1336">
        <f t="shared" si="24"/>
        <v>17.7</v>
      </c>
      <c r="H1336">
        <v>1</v>
      </c>
    </row>
    <row r="1337" spans="2:8">
      <c r="B1337" s="3">
        <v>45630</v>
      </c>
      <c r="C1337" t="s">
        <v>12</v>
      </c>
      <c r="D1337">
        <f>VLOOKUP(C1337,成本价!$C$2:$D$99,2,0)*H1337</f>
        <v>2.322</v>
      </c>
      <c r="E1337">
        <v>11.77</v>
      </c>
      <c r="G1337">
        <f t="shared" si="24"/>
        <v>9.448</v>
      </c>
      <c r="H1337">
        <v>6</v>
      </c>
    </row>
    <row r="1338" spans="2:8">
      <c r="B1338" s="3">
        <v>45630</v>
      </c>
      <c r="C1338" t="s">
        <v>44</v>
      </c>
      <c r="D1338">
        <f>VLOOKUP(C1338,成本价!$C$2:$D$99,2,0)*H1338</f>
        <v>0.397</v>
      </c>
      <c r="G1338">
        <f t="shared" si="24"/>
        <v>-0.397</v>
      </c>
      <c r="H1338">
        <v>1</v>
      </c>
    </row>
    <row r="1339" spans="2:8">
      <c r="B1339" s="3">
        <v>45630</v>
      </c>
      <c r="C1339" t="s">
        <v>16</v>
      </c>
      <c r="D1339">
        <f>VLOOKUP(C1339,成本价!$C$2:$D$99,2,0)*H1339</f>
        <v>10.8</v>
      </c>
      <c r="E1339">
        <v>24.4</v>
      </c>
      <c r="G1339">
        <f t="shared" si="24"/>
        <v>13.6</v>
      </c>
      <c r="H1339">
        <v>4</v>
      </c>
    </row>
    <row r="1340" spans="2:8">
      <c r="B1340" s="3">
        <v>45630</v>
      </c>
      <c r="C1340" t="s">
        <v>20</v>
      </c>
      <c r="D1340">
        <f>VLOOKUP(C1340,成本价!$C$2:$D$99,2,0)*H1340</f>
        <v>3</v>
      </c>
      <c r="G1340">
        <f t="shared" si="24"/>
        <v>-3</v>
      </c>
      <c r="H1340">
        <v>1</v>
      </c>
    </row>
    <row r="1341" spans="2:8">
      <c r="B1341" s="3">
        <v>45630</v>
      </c>
      <c r="C1341" t="s">
        <v>16</v>
      </c>
      <c r="D1341">
        <f>VLOOKUP(C1341,成本价!$C$2:$D$99,2,0)*H1341</f>
        <v>2.7</v>
      </c>
      <c r="E1341">
        <v>24.4</v>
      </c>
      <c r="G1341">
        <f t="shared" si="24"/>
        <v>21.7</v>
      </c>
      <c r="H1341">
        <v>1</v>
      </c>
    </row>
    <row r="1342" spans="2:8">
      <c r="B1342" s="3">
        <v>45630</v>
      </c>
      <c r="C1342" t="s">
        <v>20</v>
      </c>
      <c r="D1342">
        <f>VLOOKUP(C1342,成本价!$C$2:$D$99,2,0)*H1342</f>
        <v>12</v>
      </c>
      <c r="G1342">
        <f t="shared" si="24"/>
        <v>-12</v>
      </c>
      <c r="H1342">
        <v>4</v>
      </c>
    </row>
    <row r="1343" spans="2:8">
      <c r="B1343" s="3">
        <v>45630</v>
      </c>
      <c r="C1343" t="s">
        <v>49</v>
      </c>
      <c r="D1343">
        <f>VLOOKUP(C1343,成本价!$C$2:$D$99,2,0)*H1343</f>
        <v>1.975</v>
      </c>
      <c r="E1343">
        <v>9.57</v>
      </c>
      <c r="G1343">
        <f t="shared" si="24"/>
        <v>7.595</v>
      </c>
      <c r="H1343">
        <v>1</v>
      </c>
    </row>
    <row r="1344" spans="2:8">
      <c r="B1344" s="3">
        <v>45630</v>
      </c>
      <c r="C1344" t="s">
        <v>57</v>
      </c>
      <c r="D1344">
        <f>VLOOKUP(C1344,成本价!$C$2:$D$99,2,0)*H1344</f>
        <v>8.9</v>
      </c>
      <c r="E1344">
        <v>29.18</v>
      </c>
      <c r="G1344">
        <f t="shared" si="24"/>
        <v>20.28</v>
      </c>
      <c r="H1344">
        <v>1</v>
      </c>
    </row>
    <row r="1345" spans="2:8">
      <c r="B1345" s="3">
        <v>45630</v>
      </c>
      <c r="C1345" t="s">
        <v>90</v>
      </c>
      <c r="D1345">
        <f>VLOOKUP(C1345,成本价!$C$2:$D$99,2,0)*H1345</f>
        <v>2.6</v>
      </c>
      <c r="G1345">
        <f t="shared" si="24"/>
        <v>-2.6</v>
      </c>
      <c r="H1345">
        <v>1</v>
      </c>
    </row>
    <row r="1346" spans="2:8">
      <c r="B1346" s="3">
        <v>45630</v>
      </c>
      <c r="C1346" t="s">
        <v>99</v>
      </c>
      <c r="D1346">
        <f>VLOOKUP(C1346,成本价!$C$2:$D$99,2,0)*H1346</f>
        <v>7.2</v>
      </c>
      <c r="E1346">
        <v>17.9</v>
      </c>
      <c r="G1346">
        <f t="shared" si="24"/>
        <v>10.7</v>
      </c>
      <c r="H1346">
        <v>1</v>
      </c>
    </row>
    <row r="1347" spans="2:8">
      <c r="B1347" s="3">
        <v>45630</v>
      </c>
      <c r="C1347" t="s">
        <v>61</v>
      </c>
      <c r="D1347">
        <f>VLOOKUP(C1347,成本价!$C$2:$D$99,2,0)*H1347</f>
        <v>20.1</v>
      </c>
      <c r="E1347">
        <v>37.8</v>
      </c>
      <c r="G1347">
        <f t="shared" si="24"/>
        <v>17.7</v>
      </c>
      <c r="H1347">
        <v>1</v>
      </c>
    </row>
    <row r="1348" spans="2:8">
      <c r="B1348" s="3">
        <v>45630</v>
      </c>
      <c r="C1348" t="s">
        <v>77</v>
      </c>
      <c r="D1348">
        <f>VLOOKUP(C1348,成本价!$C$2:$D$99,2,0)*H1348</f>
        <v>0.4032</v>
      </c>
      <c r="E1348">
        <v>7.83</v>
      </c>
      <c r="G1348">
        <f t="shared" si="24"/>
        <v>7.4268</v>
      </c>
      <c r="H1348">
        <v>1</v>
      </c>
    </row>
    <row r="1349" spans="2:8">
      <c r="B1349" s="3">
        <v>45630</v>
      </c>
      <c r="C1349" t="s">
        <v>55</v>
      </c>
      <c r="D1349">
        <f>VLOOKUP(C1349,成本价!$C$2:$D$99,2,0)*H1349</f>
        <v>3.513</v>
      </c>
      <c r="E1349">
        <v>13.25</v>
      </c>
      <c r="G1349">
        <f t="shared" si="24"/>
        <v>9.737</v>
      </c>
      <c r="H1349">
        <v>3</v>
      </c>
    </row>
    <row r="1350" spans="2:8">
      <c r="B1350" s="3">
        <v>45630</v>
      </c>
      <c r="C1350" t="s">
        <v>50</v>
      </c>
      <c r="D1350">
        <f>VLOOKUP(C1350,成本价!$C$2:$D$99,2,0)*H1350</f>
        <v>2.749</v>
      </c>
      <c r="E1350">
        <v>11.51</v>
      </c>
      <c r="G1350">
        <f t="shared" si="24"/>
        <v>8.761</v>
      </c>
      <c r="H1350">
        <v>1</v>
      </c>
    </row>
    <row r="1351" spans="2:8">
      <c r="B1351" s="3">
        <v>45630</v>
      </c>
      <c r="C1351" t="s">
        <v>40</v>
      </c>
      <c r="D1351">
        <f>VLOOKUP(C1351,成本价!$C$2:$D$99,2,0)*H1351</f>
        <v>2.82</v>
      </c>
      <c r="E1351">
        <v>7.88</v>
      </c>
      <c r="G1351">
        <f t="shared" si="24"/>
        <v>5.06</v>
      </c>
      <c r="H1351">
        <v>1.5</v>
      </c>
    </row>
    <row r="1352" spans="2:8">
      <c r="B1352" s="3">
        <v>45630</v>
      </c>
      <c r="C1352" t="s">
        <v>50</v>
      </c>
      <c r="D1352">
        <f>VLOOKUP(C1352,成本价!$C$2:$D$99,2,0)*H1352</f>
        <v>2.749</v>
      </c>
      <c r="E1352">
        <v>11.51</v>
      </c>
      <c r="G1352">
        <f t="shared" si="24"/>
        <v>8.761</v>
      </c>
      <c r="H1352">
        <v>1</v>
      </c>
    </row>
    <row r="1353" spans="2:8">
      <c r="B1353" s="3">
        <v>45630</v>
      </c>
      <c r="C1353" t="s">
        <v>55</v>
      </c>
      <c r="D1353">
        <f>VLOOKUP(C1353,成本价!$C$2:$D$99,2,0)*H1353</f>
        <v>3.513</v>
      </c>
      <c r="E1353">
        <v>13.25</v>
      </c>
      <c r="G1353">
        <f t="shared" si="24"/>
        <v>9.737</v>
      </c>
      <c r="H1353">
        <v>3</v>
      </c>
    </row>
    <row r="1354" spans="2:8">
      <c r="B1354" s="3">
        <v>45630</v>
      </c>
      <c r="C1354" t="s">
        <v>59</v>
      </c>
      <c r="D1354">
        <f>VLOOKUP(C1354,成本价!$C$2:$D$99,2,0)*H1354</f>
        <v>8.7</v>
      </c>
      <c r="E1354">
        <v>29.9</v>
      </c>
      <c r="G1354">
        <f t="shared" si="24"/>
        <v>21.2</v>
      </c>
      <c r="H1354">
        <v>1</v>
      </c>
    </row>
    <row r="1355" spans="2:8">
      <c r="B1355" s="3">
        <v>45630</v>
      </c>
      <c r="C1355" t="s">
        <v>90</v>
      </c>
      <c r="D1355">
        <f>VLOOKUP(C1355,成本价!$C$2:$D$99,2,0)*H1355</f>
        <v>2.6</v>
      </c>
      <c r="G1355">
        <f t="shared" si="24"/>
        <v>-2.6</v>
      </c>
      <c r="H1355">
        <v>1</v>
      </c>
    </row>
    <row r="1356" spans="2:8">
      <c r="B1356" s="3">
        <v>45630</v>
      </c>
      <c r="C1356" t="s">
        <v>49</v>
      </c>
      <c r="D1356">
        <f>VLOOKUP(C1356,成本价!$C$2:$D$99,2,0)*H1356</f>
        <v>1.975</v>
      </c>
      <c r="E1356">
        <v>10.25</v>
      </c>
      <c r="G1356">
        <f t="shared" si="24"/>
        <v>8.275</v>
      </c>
      <c r="H1356">
        <v>1</v>
      </c>
    </row>
    <row r="1357" spans="2:8">
      <c r="B1357" s="3">
        <v>45630</v>
      </c>
      <c r="C1357" t="s">
        <v>98</v>
      </c>
      <c r="D1357">
        <f>VLOOKUP(C1357,成本价!$C$2:$D$99,2,0)*H1357</f>
        <v>10.68</v>
      </c>
      <c r="E1357">
        <v>30.2</v>
      </c>
      <c r="G1357">
        <f t="shared" si="24"/>
        <v>19.52</v>
      </c>
      <c r="H1357">
        <v>1</v>
      </c>
    </row>
    <row r="1358" spans="2:8">
      <c r="B1358" s="3">
        <v>45630</v>
      </c>
      <c r="C1358" t="s">
        <v>92</v>
      </c>
      <c r="D1358">
        <f>VLOOKUP(C1358,成本价!$C$2:$D$99,2,0)*H1358</f>
        <v>3</v>
      </c>
      <c r="G1358">
        <f t="shared" si="24"/>
        <v>-3</v>
      </c>
      <c r="H1358">
        <v>1</v>
      </c>
    </row>
    <row r="1359" spans="2:8">
      <c r="B1359" s="3">
        <v>45630</v>
      </c>
      <c r="C1359" t="s">
        <v>96</v>
      </c>
      <c r="D1359">
        <f>VLOOKUP(C1359,成本价!$C$2:$D$99,2,0)*H1359</f>
        <v>5.1</v>
      </c>
      <c r="E1359">
        <v>10</v>
      </c>
      <c r="G1359">
        <f t="shared" si="24"/>
        <v>4.9</v>
      </c>
      <c r="H1359">
        <v>1</v>
      </c>
    </row>
    <row r="1360" spans="2:8">
      <c r="B1360" s="3">
        <v>45630</v>
      </c>
      <c r="C1360" t="s">
        <v>93</v>
      </c>
      <c r="D1360">
        <f>VLOOKUP(C1360,成本价!$C$2:$D$99,2,0)*H1360</f>
        <v>4.77</v>
      </c>
      <c r="E1360">
        <v>11.26</v>
      </c>
      <c r="G1360">
        <f t="shared" si="24"/>
        <v>6.49</v>
      </c>
      <c r="H1360">
        <v>1</v>
      </c>
    </row>
    <row r="1361" spans="2:8">
      <c r="B1361" s="3">
        <v>45630</v>
      </c>
      <c r="C1361" t="s">
        <v>93</v>
      </c>
      <c r="D1361">
        <f>VLOOKUP(C1361,成本价!$C$2:$D$99,2,0)*H1361</f>
        <v>4.77</v>
      </c>
      <c r="E1361">
        <v>11.26</v>
      </c>
      <c r="G1361">
        <f t="shared" si="24"/>
        <v>6.49</v>
      </c>
      <c r="H1361">
        <v>1</v>
      </c>
    </row>
    <row r="1362" spans="2:10">
      <c r="B1362" s="3">
        <v>45630</v>
      </c>
      <c r="C1362" t="s">
        <v>64</v>
      </c>
      <c r="D1362">
        <f>VLOOKUP(C1362,成本价!$C$2:$D$99,2,0)*H1362</f>
        <v>6.38</v>
      </c>
      <c r="E1362">
        <v>16.39</v>
      </c>
      <c r="G1362">
        <f t="shared" si="24"/>
        <v>10.01</v>
      </c>
      <c r="H1362">
        <v>1</v>
      </c>
      <c r="J1362" s="2" t="s">
        <v>74</v>
      </c>
    </row>
    <row r="1363" spans="2:9">
      <c r="B1363" s="3">
        <v>45630</v>
      </c>
      <c r="I1363">
        <f>134.42+3.19</f>
        <v>137.61</v>
      </c>
    </row>
    <row r="1364" spans="2:8">
      <c r="B1364" s="29">
        <v>45631</v>
      </c>
      <c r="C1364" t="s">
        <v>49</v>
      </c>
      <c r="D1364">
        <f>VLOOKUP(C1364,成本价!$C$2:$D$99,2,0)*H1364</f>
        <v>1.975</v>
      </c>
      <c r="E1364">
        <v>10.48</v>
      </c>
      <c r="F1364">
        <v>91</v>
      </c>
      <c r="G1364">
        <f t="shared" si="24"/>
        <v>8.505</v>
      </c>
      <c r="H1364">
        <v>1</v>
      </c>
    </row>
    <row r="1365" spans="2:8">
      <c r="B1365" s="3">
        <v>45631</v>
      </c>
      <c r="C1365" t="s">
        <v>87</v>
      </c>
      <c r="D1365">
        <f>VLOOKUP(C1365,成本价!$C$2:$D$99,2,0)*H1365</f>
        <v>0.3825</v>
      </c>
      <c r="E1365">
        <v>7.24</v>
      </c>
      <c r="G1365">
        <f t="shared" si="24"/>
        <v>6.8575</v>
      </c>
      <c r="H1365">
        <v>3</v>
      </c>
    </row>
    <row r="1366" spans="2:8">
      <c r="B1366" s="3">
        <v>45631</v>
      </c>
      <c r="C1366" t="s">
        <v>88</v>
      </c>
      <c r="D1366">
        <f>VLOOKUP(C1366,成本价!$C$2:$D$99,2,0)*H1366</f>
        <v>0.54</v>
      </c>
      <c r="G1366">
        <f t="shared" ref="G1366:G1429" si="25">E1366-D1366</f>
        <v>-0.54</v>
      </c>
      <c r="H1366">
        <v>4</v>
      </c>
    </row>
    <row r="1367" spans="2:8">
      <c r="B1367" s="3">
        <v>45631</v>
      </c>
      <c r="C1367" t="s">
        <v>16</v>
      </c>
      <c r="D1367">
        <f>VLOOKUP(C1367,成本价!$C$2:$D$99,2,0)*H1367</f>
        <v>8.1</v>
      </c>
      <c r="E1367">
        <v>24.4</v>
      </c>
      <c r="G1367">
        <f t="shared" si="25"/>
        <v>16.3</v>
      </c>
      <c r="H1367">
        <v>3</v>
      </c>
    </row>
    <row r="1368" spans="2:8">
      <c r="B1368" s="3">
        <v>45631</v>
      </c>
      <c r="C1368" t="s">
        <v>20</v>
      </c>
      <c r="D1368">
        <f>VLOOKUP(C1368,成本价!$C$2:$D$99,2,0)*H1368</f>
        <v>6</v>
      </c>
      <c r="G1368">
        <f t="shared" si="25"/>
        <v>-6</v>
      </c>
      <c r="H1368">
        <v>2</v>
      </c>
    </row>
    <row r="1369" spans="2:8">
      <c r="B1369" s="3">
        <v>45631</v>
      </c>
      <c r="C1369" t="s">
        <v>100</v>
      </c>
      <c r="D1369">
        <f>VLOOKUP(C1369,成本价!$C$2:$D$99,2,0)*H1369</f>
        <v>5.07</v>
      </c>
      <c r="E1369">
        <v>15.29</v>
      </c>
      <c r="G1369">
        <f t="shared" si="25"/>
        <v>10.22</v>
      </c>
      <c r="H1369">
        <v>1</v>
      </c>
    </row>
    <row r="1370" spans="2:8">
      <c r="B1370" s="3">
        <v>45631</v>
      </c>
      <c r="C1370" t="s">
        <v>33</v>
      </c>
      <c r="D1370">
        <f>VLOOKUP(C1370,成本价!$C$2:$D$99,2,0)*H1370</f>
        <v>1.7</v>
      </c>
      <c r="E1370">
        <v>6.54</v>
      </c>
      <c r="G1370">
        <f t="shared" si="25"/>
        <v>4.84</v>
      </c>
      <c r="H1370">
        <v>1</v>
      </c>
    </row>
    <row r="1371" spans="2:8">
      <c r="B1371" s="3">
        <v>45631</v>
      </c>
      <c r="C1371" t="s">
        <v>97</v>
      </c>
      <c r="D1371">
        <f>VLOOKUP(C1371,成本价!$C$2:$D$99,2,0)*H1371</f>
        <v>4.5</v>
      </c>
      <c r="E1371">
        <v>7.99</v>
      </c>
      <c r="G1371">
        <f t="shared" si="25"/>
        <v>3.49</v>
      </c>
      <c r="H1371">
        <v>1</v>
      </c>
    </row>
    <row r="1372" spans="2:8">
      <c r="B1372" s="3">
        <v>45631</v>
      </c>
      <c r="C1372" t="s">
        <v>101</v>
      </c>
      <c r="D1372">
        <f>VLOOKUP(C1372,成本价!$C$2:$D$99,2,0)*H1372</f>
        <v>4.77</v>
      </c>
      <c r="E1372">
        <v>9.68</v>
      </c>
      <c r="G1372">
        <f t="shared" si="25"/>
        <v>4.91</v>
      </c>
      <c r="H1372">
        <v>1</v>
      </c>
    </row>
    <row r="1373" spans="2:8">
      <c r="B1373" s="3">
        <v>45631</v>
      </c>
      <c r="C1373" t="s">
        <v>49</v>
      </c>
      <c r="D1373">
        <f>VLOOKUP(C1373,成本价!$C$2:$D$99,2,0)*H1373</f>
        <v>1.975</v>
      </c>
      <c r="E1373">
        <v>10.48</v>
      </c>
      <c r="G1373">
        <f t="shared" si="25"/>
        <v>8.505</v>
      </c>
      <c r="H1373">
        <v>1</v>
      </c>
    </row>
    <row r="1374" spans="2:8">
      <c r="B1374" s="3">
        <v>45631</v>
      </c>
      <c r="C1374" t="s">
        <v>12</v>
      </c>
      <c r="D1374">
        <f>VLOOKUP(C1374,成本价!$C$2:$D$99,2,0)*H1374</f>
        <v>0.774</v>
      </c>
      <c r="E1374">
        <v>10.67</v>
      </c>
      <c r="G1374">
        <f t="shared" si="25"/>
        <v>9.896</v>
      </c>
      <c r="H1374">
        <v>2</v>
      </c>
    </row>
    <row r="1375" spans="2:8">
      <c r="B1375" s="3">
        <v>45631</v>
      </c>
      <c r="C1375" t="s">
        <v>44</v>
      </c>
      <c r="D1375">
        <f>VLOOKUP(C1375,成本价!$C$2:$D$99,2,0)*H1375</f>
        <v>1.191</v>
      </c>
      <c r="G1375">
        <f t="shared" si="25"/>
        <v>-1.191</v>
      </c>
      <c r="H1375">
        <v>3</v>
      </c>
    </row>
    <row r="1376" spans="2:8">
      <c r="B1376" s="3">
        <v>45631</v>
      </c>
      <c r="C1376" t="s">
        <v>57</v>
      </c>
      <c r="D1376">
        <f>VLOOKUP(C1376,成本价!$C$2:$D$99,2,0)*H1376</f>
        <v>8.9</v>
      </c>
      <c r="E1376">
        <v>28.4</v>
      </c>
      <c r="G1376">
        <f t="shared" si="25"/>
        <v>19.5</v>
      </c>
      <c r="H1376">
        <v>1</v>
      </c>
    </row>
    <row r="1377" spans="2:8">
      <c r="B1377" s="3">
        <v>45631</v>
      </c>
      <c r="C1377" t="s">
        <v>90</v>
      </c>
      <c r="D1377">
        <f>VLOOKUP(C1377,成本价!$C$2:$D$99,2,0)*H1377</f>
        <v>2.6</v>
      </c>
      <c r="G1377">
        <f t="shared" si="25"/>
        <v>-2.6</v>
      </c>
      <c r="H1377">
        <v>1</v>
      </c>
    </row>
    <row r="1378" spans="2:8">
      <c r="B1378" s="3">
        <v>45631</v>
      </c>
      <c r="C1378" t="s">
        <v>94</v>
      </c>
      <c r="D1378">
        <f>VLOOKUP(C1378,成本价!$C$2:$D$99,2,0)*H1378</f>
        <v>3.9</v>
      </c>
      <c r="E1378">
        <v>8.67</v>
      </c>
      <c r="G1378">
        <f t="shared" si="25"/>
        <v>4.77</v>
      </c>
      <c r="H1378">
        <v>1</v>
      </c>
    </row>
    <row r="1379" spans="2:8">
      <c r="B1379" s="3">
        <v>45631</v>
      </c>
      <c r="C1379" t="s">
        <v>50</v>
      </c>
      <c r="D1379">
        <f>VLOOKUP(C1379,成本价!$C$2:$D$99,2,0)*H1379</f>
        <v>5.498</v>
      </c>
      <c r="E1379">
        <v>17.74</v>
      </c>
      <c r="G1379">
        <f t="shared" si="25"/>
        <v>12.242</v>
      </c>
      <c r="H1379">
        <v>2</v>
      </c>
    </row>
    <row r="1380" spans="2:8">
      <c r="B1380" s="3">
        <v>45631</v>
      </c>
      <c r="C1380" t="s">
        <v>102</v>
      </c>
      <c r="D1380">
        <f>VLOOKUP(C1380,成本价!$C$2:$D$99,2,0)*H1380</f>
        <v>7.5</v>
      </c>
      <c r="E1380">
        <v>17.9</v>
      </c>
      <c r="G1380">
        <f t="shared" si="25"/>
        <v>10.4</v>
      </c>
      <c r="H1380">
        <v>1</v>
      </c>
    </row>
    <row r="1381" spans="2:8">
      <c r="B1381" s="3">
        <v>45631</v>
      </c>
      <c r="C1381" t="s">
        <v>55</v>
      </c>
      <c r="D1381">
        <f>VLOOKUP(C1381,成本价!$C$2:$D$99,2,0)*H1381</f>
        <v>3.513</v>
      </c>
      <c r="E1381">
        <v>13.55</v>
      </c>
      <c r="G1381">
        <f t="shared" si="25"/>
        <v>10.037</v>
      </c>
      <c r="H1381">
        <v>3</v>
      </c>
    </row>
    <row r="1382" spans="2:8">
      <c r="B1382" s="3">
        <v>45631</v>
      </c>
      <c r="C1382" t="s">
        <v>33</v>
      </c>
      <c r="D1382">
        <f>VLOOKUP(C1382,成本价!$C$2:$D$99,2,0)*H1382</f>
        <v>7.65</v>
      </c>
      <c r="E1382">
        <f>7.38+7.38+7.38</f>
        <v>22.14</v>
      </c>
      <c r="G1382">
        <f t="shared" si="25"/>
        <v>14.49</v>
      </c>
      <c r="H1382">
        <v>4.5</v>
      </c>
    </row>
    <row r="1383" spans="2:8">
      <c r="B1383" s="3">
        <v>45631</v>
      </c>
      <c r="C1383" t="s">
        <v>27</v>
      </c>
      <c r="D1383">
        <f>VLOOKUP(C1383,成本价!$C$2:$D$99,2,0)*H1383</f>
        <v>2.7</v>
      </c>
      <c r="E1383">
        <v>7.38</v>
      </c>
      <c r="G1383">
        <f t="shared" si="25"/>
        <v>4.68</v>
      </c>
      <c r="H1383">
        <v>1.5</v>
      </c>
    </row>
    <row r="1384" spans="2:8">
      <c r="B1384" s="3">
        <v>45631</v>
      </c>
      <c r="C1384" t="s">
        <v>58</v>
      </c>
      <c r="D1384">
        <f>VLOOKUP(C1384,成本价!$C$2:$D$99,2,0)*H1384</f>
        <v>8.4</v>
      </c>
      <c r="E1384">
        <v>16.5</v>
      </c>
      <c r="G1384">
        <f t="shared" si="25"/>
        <v>8.1</v>
      </c>
      <c r="H1384">
        <v>1</v>
      </c>
    </row>
    <row r="1385" spans="2:8">
      <c r="B1385" s="3">
        <v>45631</v>
      </c>
      <c r="C1385" t="s">
        <v>103</v>
      </c>
      <c r="D1385">
        <f>VLOOKUP(C1385,成本价!$C$2:$D$99,2,0)*H1385</f>
        <v>3.6</v>
      </c>
      <c r="E1385">
        <v>11.14</v>
      </c>
      <c r="G1385">
        <f t="shared" si="25"/>
        <v>7.54</v>
      </c>
      <c r="H1385">
        <v>1</v>
      </c>
    </row>
    <row r="1386" spans="2:8">
      <c r="B1386" s="3">
        <v>45631</v>
      </c>
      <c r="C1386" t="s">
        <v>16</v>
      </c>
      <c r="D1386">
        <f>VLOOKUP(C1386,成本价!$C$2:$D$99,2,0)*H1386</f>
        <v>5.4</v>
      </c>
      <c r="E1386">
        <v>24.4</v>
      </c>
      <c r="G1386">
        <f t="shared" si="25"/>
        <v>19</v>
      </c>
      <c r="H1386">
        <v>2</v>
      </c>
    </row>
    <row r="1387" spans="2:8">
      <c r="B1387" s="3">
        <v>45631</v>
      </c>
      <c r="C1387" t="s">
        <v>20</v>
      </c>
      <c r="D1387">
        <f>VLOOKUP(C1387,成本价!$C$2:$D$99,2,0)*H1387</f>
        <v>9</v>
      </c>
      <c r="G1387">
        <f t="shared" si="25"/>
        <v>-9</v>
      </c>
      <c r="H1387">
        <v>3</v>
      </c>
    </row>
    <row r="1388" spans="2:8">
      <c r="B1388" s="3">
        <v>45631</v>
      </c>
      <c r="C1388" t="s">
        <v>49</v>
      </c>
      <c r="D1388">
        <f>VLOOKUP(C1388,成本价!$C$2:$D$99,2,0)*H1388</f>
        <v>1.975</v>
      </c>
      <c r="E1388">
        <v>10.48</v>
      </c>
      <c r="G1388">
        <f t="shared" si="25"/>
        <v>8.505</v>
      </c>
      <c r="H1388">
        <v>1</v>
      </c>
    </row>
    <row r="1389" spans="2:8">
      <c r="B1389" s="3">
        <v>45631</v>
      </c>
      <c r="C1389" t="s">
        <v>94</v>
      </c>
      <c r="D1389">
        <f>VLOOKUP(C1389,成本价!$C$2:$D$99,2,0)*H1389</f>
        <v>1.3</v>
      </c>
      <c r="E1389">
        <v>3</v>
      </c>
      <c r="G1389">
        <f t="shared" si="25"/>
        <v>1.7</v>
      </c>
      <c r="H1389">
        <f>1/3</f>
        <v>0.333333333333333</v>
      </c>
    </row>
    <row r="1390" spans="2:8">
      <c r="B1390" s="3">
        <v>45631</v>
      </c>
      <c r="C1390" t="s">
        <v>87</v>
      </c>
      <c r="D1390">
        <f>VLOOKUP(C1390,成本价!$C$2:$D$99,2,0)*H1390</f>
        <v>0.765</v>
      </c>
      <c r="E1390">
        <v>7.61</v>
      </c>
      <c r="G1390">
        <f t="shared" si="25"/>
        <v>6.845</v>
      </c>
      <c r="H1390">
        <v>6</v>
      </c>
    </row>
    <row r="1391" spans="2:8">
      <c r="B1391" s="3">
        <v>45631</v>
      </c>
      <c r="C1391" t="s">
        <v>88</v>
      </c>
      <c r="D1391">
        <f>VLOOKUP(C1391,成本价!$C$2:$D$99,2,0)*H1391</f>
        <v>0.405</v>
      </c>
      <c r="G1391">
        <f t="shared" si="25"/>
        <v>-0.405</v>
      </c>
      <c r="H1391">
        <v>3</v>
      </c>
    </row>
    <row r="1392" spans="2:8">
      <c r="B1392" s="3">
        <v>45631</v>
      </c>
      <c r="C1392" t="s">
        <v>96</v>
      </c>
      <c r="D1392">
        <f>VLOOKUP(C1392,成本价!$C$2:$D$99,2,0)*H1392</f>
        <v>5.1</v>
      </c>
      <c r="E1392">
        <v>7.99</v>
      </c>
      <c r="G1392">
        <f t="shared" si="25"/>
        <v>2.89</v>
      </c>
      <c r="H1392">
        <v>1</v>
      </c>
    </row>
    <row r="1393" spans="2:8">
      <c r="B1393" s="3">
        <v>45631</v>
      </c>
      <c r="C1393" t="s">
        <v>33</v>
      </c>
      <c r="D1393">
        <f>VLOOKUP(C1393,成本价!$C$2:$D$99,2,0)*H1393</f>
        <v>1.7</v>
      </c>
      <c r="E1393">
        <v>6.54</v>
      </c>
      <c r="G1393">
        <f t="shared" si="25"/>
        <v>4.84</v>
      </c>
      <c r="H1393">
        <v>1</v>
      </c>
    </row>
    <row r="1394" spans="2:8">
      <c r="B1394" s="3">
        <v>45631</v>
      </c>
      <c r="C1394" t="s">
        <v>23</v>
      </c>
      <c r="D1394">
        <f>VLOOKUP(C1394,成本价!$C$2:$D$99,2,0)*H1394</f>
        <v>6.24</v>
      </c>
      <c r="E1394">
        <f>6.49*3</f>
        <v>19.47</v>
      </c>
      <c r="G1394">
        <f t="shared" si="25"/>
        <v>13.23</v>
      </c>
      <c r="H1394">
        <v>3</v>
      </c>
    </row>
    <row r="1395" spans="2:8">
      <c r="B1395" s="3">
        <v>45631</v>
      </c>
      <c r="C1395" t="s">
        <v>93</v>
      </c>
      <c r="D1395">
        <f>VLOOKUP(C1395,成本价!$C$2:$D$99,2,0)*H1395</f>
        <v>4.77</v>
      </c>
      <c r="E1395">
        <v>11.26</v>
      </c>
      <c r="G1395">
        <f t="shared" si="25"/>
        <v>6.49</v>
      </c>
      <c r="H1395">
        <v>1</v>
      </c>
    </row>
    <row r="1396" spans="2:8">
      <c r="B1396" s="3">
        <v>45631</v>
      </c>
      <c r="C1396" t="s">
        <v>50</v>
      </c>
      <c r="D1396">
        <f>VLOOKUP(C1396,成本价!$C$2:$D$99,2,0)*H1396</f>
        <v>5.498</v>
      </c>
      <c r="E1396">
        <v>16.74</v>
      </c>
      <c r="G1396">
        <f t="shared" si="25"/>
        <v>11.242</v>
      </c>
      <c r="H1396">
        <v>2</v>
      </c>
    </row>
    <row r="1397" spans="2:8">
      <c r="B1397" s="3">
        <v>45631</v>
      </c>
      <c r="C1397" t="s">
        <v>50</v>
      </c>
      <c r="D1397">
        <f>VLOOKUP(C1397,成本价!$C$2:$D$99,2,0)*H1397</f>
        <v>2.749</v>
      </c>
      <c r="E1397">
        <v>9.37</v>
      </c>
      <c r="G1397">
        <f t="shared" si="25"/>
        <v>6.621</v>
      </c>
      <c r="H1397">
        <v>1</v>
      </c>
    </row>
    <row r="1398" spans="2:8">
      <c r="B1398" s="3">
        <v>45631</v>
      </c>
      <c r="C1398" t="s">
        <v>104</v>
      </c>
      <c r="D1398">
        <f>VLOOKUP(C1398,成本价!$C$2:$D$99,2,0)*H1398</f>
        <v>2.7</v>
      </c>
      <c r="E1398">
        <v>8.63</v>
      </c>
      <c r="G1398">
        <f t="shared" si="25"/>
        <v>5.93</v>
      </c>
      <c r="H1398">
        <v>1</v>
      </c>
    </row>
    <row r="1399" spans="2:8">
      <c r="B1399" s="3">
        <v>45631</v>
      </c>
      <c r="C1399" t="s">
        <v>54</v>
      </c>
      <c r="D1399">
        <f>VLOOKUP(C1399,成本价!$C$2:$D$99,2,0)*H1399</f>
        <v>14.7</v>
      </c>
      <c r="E1399">
        <v>26.7</v>
      </c>
      <c r="G1399">
        <f t="shared" si="25"/>
        <v>12</v>
      </c>
      <c r="H1399">
        <v>1</v>
      </c>
    </row>
    <row r="1400" spans="2:8">
      <c r="B1400" s="3">
        <v>45631</v>
      </c>
      <c r="C1400" t="s">
        <v>50</v>
      </c>
      <c r="D1400">
        <f>VLOOKUP(C1400,成本价!$C$2:$D$99,2,0)*H1400</f>
        <v>2.749</v>
      </c>
      <c r="E1400">
        <v>9.37</v>
      </c>
      <c r="G1400">
        <f t="shared" si="25"/>
        <v>6.621</v>
      </c>
      <c r="H1400">
        <v>1</v>
      </c>
    </row>
    <row r="1401" spans="2:8">
      <c r="B1401" s="3">
        <v>45631</v>
      </c>
      <c r="C1401" t="s">
        <v>93</v>
      </c>
      <c r="D1401">
        <f>VLOOKUP(C1401,成本价!$C$2:$D$99,2,0)*H1401</f>
        <v>4.77</v>
      </c>
      <c r="E1401">
        <v>11.26</v>
      </c>
      <c r="G1401">
        <f t="shared" si="25"/>
        <v>6.49</v>
      </c>
      <c r="H1401">
        <v>1</v>
      </c>
    </row>
    <row r="1402" spans="2:8">
      <c r="B1402" s="3">
        <v>45631</v>
      </c>
      <c r="C1402" t="s">
        <v>87</v>
      </c>
      <c r="D1402">
        <f>VLOOKUP(C1402,成本价!$C$2:$D$99,2,0)*H1402</f>
        <v>0.1275</v>
      </c>
      <c r="E1402">
        <v>7.24</v>
      </c>
      <c r="G1402">
        <f t="shared" si="25"/>
        <v>7.1125</v>
      </c>
      <c r="H1402">
        <v>1</v>
      </c>
    </row>
    <row r="1403" spans="2:8">
      <c r="B1403" s="3">
        <v>45631</v>
      </c>
      <c r="C1403" t="s">
        <v>88</v>
      </c>
      <c r="D1403">
        <f>VLOOKUP(C1403,成本价!$C$2:$D$99,2,0)*H1403</f>
        <v>0.135</v>
      </c>
      <c r="E1403">
        <v>0</v>
      </c>
      <c r="G1403">
        <f t="shared" si="25"/>
        <v>-0.135</v>
      </c>
      <c r="H1403">
        <v>1</v>
      </c>
    </row>
    <row r="1404" spans="2:9">
      <c r="B1404" s="3">
        <v>45631</v>
      </c>
      <c r="I1404">
        <v>168.01</v>
      </c>
    </row>
    <row r="1405" spans="2:8">
      <c r="B1405" s="29">
        <v>45632</v>
      </c>
      <c r="C1405" t="s">
        <v>55</v>
      </c>
      <c r="D1405">
        <f>VLOOKUP(C1405,成本价!$C$2:$D$99,2,0)*H1405</f>
        <v>3.513</v>
      </c>
      <c r="E1405">
        <v>13.55</v>
      </c>
      <c r="F1405">
        <v>84</v>
      </c>
      <c r="G1405">
        <f t="shared" si="25"/>
        <v>10.037</v>
      </c>
      <c r="H1405">
        <v>3</v>
      </c>
    </row>
    <row r="1406" spans="2:8">
      <c r="B1406" s="3">
        <v>45632</v>
      </c>
      <c r="C1406" t="s">
        <v>79</v>
      </c>
      <c r="D1406">
        <f>VLOOKUP(C1406,成本价!$C$2:$D$99,2,0)*H1406</f>
        <v>12.3</v>
      </c>
      <c r="E1406">
        <v>40.94</v>
      </c>
      <c r="G1406">
        <f t="shared" si="25"/>
        <v>28.64</v>
      </c>
      <c r="H1406">
        <v>1</v>
      </c>
    </row>
    <row r="1407" spans="2:8">
      <c r="B1407" s="3">
        <v>45632</v>
      </c>
      <c r="C1407" t="s">
        <v>90</v>
      </c>
      <c r="D1407">
        <f>VLOOKUP(C1407,成本价!$C$2:$D$99,2,0)*H1407</f>
        <v>2.6</v>
      </c>
      <c r="G1407">
        <f t="shared" si="25"/>
        <v>-2.6</v>
      </c>
      <c r="H1407">
        <v>1</v>
      </c>
    </row>
    <row r="1408" spans="2:8">
      <c r="B1408" s="3">
        <v>45632</v>
      </c>
      <c r="C1408" t="s">
        <v>64</v>
      </c>
      <c r="D1408">
        <f>VLOOKUP(C1408,成本价!$C$2:$D$99,2,0)*H1408</f>
        <v>6.38</v>
      </c>
      <c r="E1408">
        <v>19.69</v>
      </c>
      <c r="G1408">
        <f t="shared" si="25"/>
        <v>13.31</v>
      </c>
      <c r="H1408">
        <v>1</v>
      </c>
    </row>
    <row r="1409" spans="2:8">
      <c r="B1409" s="3">
        <v>45632</v>
      </c>
      <c r="C1409" t="s">
        <v>49</v>
      </c>
      <c r="D1409">
        <f>VLOOKUP(C1409,成本价!$C$2:$D$99,2,0)*H1409</f>
        <v>1.975</v>
      </c>
      <c r="E1409">
        <v>10.48</v>
      </c>
      <c r="G1409">
        <f t="shared" si="25"/>
        <v>8.505</v>
      </c>
      <c r="H1409">
        <v>1</v>
      </c>
    </row>
    <row r="1410" spans="2:8">
      <c r="B1410" s="3">
        <v>45632</v>
      </c>
      <c r="C1410" t="s">
        <v>44</v>
      </c>
      <c r="D1410">
        <f>VLOOKUP(C1410,成本价!$C$2:$D$99,2,0)*H1410</f>
        <v>0.397</v>
      </c>
      <c r="E1410">
        <v>4.84</v>
      </c>
      <c r="G1410">
        <f t="shared" si="25"/>
        <v>4.443</v>
      </c>
      <c r="H1410">
        <v>1</v>
      </c>
    </row>
    <row r="1411" spans="2:8">
      <c r="B1411" s="3">
        <v>45632</v>
      </c>
      <c r="C1411" t="s">
        <v>33</v>
      </c>
      <c r="D1411">
        <f>VLOOKUP(C1411,成本价!$C$2:$D$99,2,0)*H1411</f>
        <v>1.7</v>
      </c>
      <c r="E1411">
        <v>6.69</v>
      </c>
      <c r="G1411">
        <f t="shared" si="25"/>
        <v>4.99</v>
      </c>
      <c r="H1411">
        <v>1</v>
      </c>
    </row>
    <row r="1412" spans="2:8">
      <c r="B1412" s="3">
        <v>45632</v>
      </c>
      <c r="C1412" t="s">
        <v>104</v>
      </c>
      <c r="D1412">
        <f>VLOOKUP(C1412,成本价!$C$2:$D$99,2,0)*H1412</f>
        <v>2.7</v>
      </c>
      <c r="E1412">
        <v>8.63</v>
      </c>
      <c r="G1412">
        <f t="shared" si="25"/>
        <v>5.93</v>
      </c>
      <c r="H1412">
        <v>1</v>
      </c>
    </row>
    <row r="1413" spans="2:8">
      <c r="B1413" s="3">
        <v>45632</v>
      </c>
      <c r="C1413" t="s">
        <v>50</v>
      </c>
      <c r="D1413">
        <f>VLOOKUP(C1413,成本价!$C$2:$D$99,2,0)*H1413</f>
        <v>2.749</v>
      </c>
      <c r="E1413">
        <v>9.37</v>
      </c>
      <c r="G1413">
        <f t="shared" si="25"/>
        <v>6.621</v>
      </c>
      <c r="H1413">
        <v>1</v>
      </c>
    </row>
    <row r="1414" spans="2:8">
      <c r="B1414" s="3">
        <v>45632</v>
      </c>
      <c r="C1414" t="s">
        <v>79</v>
      </c>
      <c r="D1414">
        <f>VLOOKUP(C1414,成本价!$C$2:$D$99,2,0)*H1414</f>
        <v>12.3</v>
      </c>
      <c r="E1414">
        <v>36.69</v>
      </c>
      <c r="G1414">
        <f t="shared" si="25"/>
        <v>24.39</v>
      </c>
      <c r="H1414">
        <v>1</v>
      </c>
    </row>
    <row r="1415" spans="2:8">
      <c r="B1415" s="3">
        <v>45632</v>
      </c>
      <c r="C1415" t="s">
        <v>90</v>
      </c>
      <c r="D1415">
        <f>VLOOKUP(C1415,成本价!$C$2:$D$99,2,0)*H1415</f>
        <v>2.6</v>
      </c>
      <c r="G1415">
        <f t="shared" si="25"/>
        <v>-2.6</v>
      </c>
      <c r="H1415">
        <v>1</v>
      </c>
    </row>
    <row r="1416" spans="2:8">
      <c r="B1416" s="3">
        <v>45632</v>
      </c>
      <c r="C1416" t="s">
        <v>36</v>
      </c>
      <c r="D1416">
        <f>VLOOKUP(C1416,成本价!$C$2:$D$99,2,0)*H1416</f>
        <v>6.96</v>
      </c>
      <c r="E1416">
        <f>7.88*2</f>
        <v>15.76</v>
      </c>
      <c r="G1416">
        <f t="shared" si="25"/>
        <v>8.8</v>
      </c>
      <c r="H1416">
        <v>3</v>
      </c>
    </row>
    <row r="1417" spans="2:8">
      <c r="B1417" s="3">
        <v>45632</v>
      </c>
      <c r="C1417" t="s">
        <v>37</v>
      </c>
      <c r="D1417">
        <f>VLOOKUP(C1417,成本价!$C$2:$D$99,2,0)*H1417</f>
        <v>11.43</v>
      </c>
      <c r="E1417">
        <f>7.88*2+5.88</f>
        <v>21.64</v>
      </c>
      <c r="G1417">
        <f t="shared" si="25"/>
        <v>10.21</v>
      </c>
      <c r="H1417">
        <v>4.5</v>
      </c>
    </row>
    <row r="1418" spans="2:8">
      <c r="B1418" s="3">
        <v>45632</v>
      </c>
      <c r="C1418" t="s">
        <v>36</v>
      </c>
      <c r="D1418">
        <f>VLOOKUP(C1418,成本价!$C$2:$D$99,2,0)*H1418</f>
        <v>3.48</v>
      </c>
      <c r="E1418">
        <v>5.88</v>
      </c>
      <c r="G1418">
        <f t="shared" si="25"/>
        <v>2.4</v>
      </c>
      <c r="H1418">
        <v>1.5</v>
      </c>
    </row>
    <row r="1419" spans="2:8">
      <c r="B1419" s="3">
        <v>45632</v>
      </c>
      <c r="C1419" t="s">
        <v>50</v>
      </c>
      <c r="D1419">
        <f>VLOOKUP(C1419,成本价!$C$2:$D$99,2,0)*H1419</f>
        <v>2.749</v>
      </c>
      <c r="E1419">
        <v>9.37</v>
      </c>
      <c r="G1419">
        <f t="shared" si="25"/>
        <v>6.621</v>
      </c>
      <c r="H1419">
        <v>1</v>
      </c>
    </row>
    <row r="1420" spans="2:8">
      <c r="B1420" s="3">
        <v>45632</v>
      </c>
      <c r="C1420" t="s">
        <v>97</v>
      </c>
      <c r="D1420">
        <f>VLOOKUP(C1420,成本价!$C$2:$D$99,2,0)*H1420</f>
        <v>4.5</v>
      </c>
      <c r="E1420">
        <v>7.99</v>
      </c>
      <c r="G1420">
        <f t="shared" si="25"/>
        <v>3.49</v>
      </c>
      <c r="H1420">
        <v>1</v>
      </c>
    </row>
    <row r="1421" spans="2:8">
      <c r="B1421" s="3">
        <v>45632</v>
      </c>
      <c r="C1421" t="s">
        <v>27</v>
      </c>
      <c r="D1421">
        <f>VLOOKUP(C1421,成本价!$C$2:$D$99,2,0)*H1421</f>
        <v>1.8</v>
      </c>
      <c r="E1421">
        <v>6.54</v>
      </c>
      <c r="G1421">
        <f t="shared" si="25"/>
        <v>4.74</v>
      </c>
      <c r="H1421">
        <v>1</v>
      </c>
    </row>
    <row r="1422" spans="2:8">
      <c r="B1422" s="3">
        <v>45632</v>
      </c>
      <c r="C1422" t="s">
        <v>79</v>
      </c>
      <c r="D1422">
        <f>VLOOKUP(C1422,成本价!$C$2:$D$99,2,0)*H1422</f>
        <v>12.3</v>
      </c>
      <c r="E1422">
        <v>40.94</v>
      </c>
      <c r="G1422">
        <f t="shared" si="25"/>
        <v>28.64</v>
      </c>
      <c r="H1422">
        <v>1</v>
      </c>
    </row>
    <row r="1423" spans="2:8">
      <c r="B1423" s="3">
        <v>45632</v>
      </c>
      <c r="C1423" t="s">
        <v>90</v>
      </c>
      <c r="D1423">
        <f>VLOOKUP(C1423,成本价!$C$2:$D$99,2,0)*H1423</f>
        <v>2.6</v>
      </c>
      <c r="G1423">
        <f t="shared" si="25"/>
        <v>-2.6</v>
      </c>
      <c r="H1423">
        <v>1</v>
      </c>
    </row>
    <row r="1424" spans="2:8">
      <c r="B1424" s="3">
        <v>45632</v>
      </c>
      <c r="C1424" t="s">
        <v>87</v>
      </c>
      <c r="D1424">
        <f>VLOOKUP(C1424,成本价!$C$2:$D$99,2,0)*H1424</f>
        <v>0.765</v>
      </c>
      <c r="E1424">
        <v>7.24</v>
      </c>
      <c r="G1424">
        <f t="shared" si="25"/>
        <v>6.475</v>
      </c>
      <c r="H1424">
        <v>6</v>
      </c>
    </row>
    <row r="1425" spans="2:8">
      <c r="B1425" s="3">
        <v>45632</v>
      </c>
      <c r="C1425" t="s">
        <v>88</v>
      </c>
      <c r="D1425">
        <f>VLOOKUP(C1425,成本价!$C$2:$D$99,2,0)*H1425</f>
        <v>0.405</v>
      </c>
      <c r="E1425">
        <v>0</v>
      </c>
      <c r="G1425">
        <f t="shared" si="25"/>
        <v>-0.405</v>
      </c>
      <c r="H1425">
        <v>3</v>
      </c>
    </row>
    <row r="1426" spans="2:8">
      <c r="B1426" s="3">
        <v>45632</v>
      </c>
      <c r="C1426" t="s">
        <v>105</v>
      </c>
      <c r="D1426">
        <f>VLOOKUP(C1426,成本价!$C$2:$D$99,2,0)*H1426</f>
        <v>7.4</v>
      </c>
      <c r="E1426">
        <v>20.22</v>
      </c>
      <c r="G1426">
        <f t="shared" si="25"/>
        <v>12.82</v>
      </c>
      <c r="H1426">
        <v>1</v>
      </c>
    </row>
    <row r="1427" spans="2:8">
      <c r="B1427" s="3">
        <v>45632</v>
      </c>
      <c r="C1427" t="s">
        <v>77</v>
      </c>
      <c r="D1427">
        <f>VLOOKUP(C1427,成本价!$C$2:$D$99,2,0)*H1427</f>
        <v>0.4032</v>
      </c>
      <c r="E1427">
        <v>6.82</v>
      </c>
      <c r="G1427">
        <f t="shared" si="25"/>
        <v>6.4168</v>
      </c>
      <c r="H1427">
        <v>1</v>
      </c>
    </row>
    <row r="1428" spans="2:8">
      <c r="B1428" s="3">
        <v>45632</v>
      </c>
      <c r="C1428" t="s">
        <v>68</v>
      </c>
      <c r="D1428">
        <f>VLOOKUP(C1428,成本价!$C$2:$D$99,2,0)*H1428</f>
        <v>18</v>
      </c>
      <c r="E1428">
        <v>34.9</v>
      </c>
      <c r="G1428">
        <f t="shared" si="25"/>
        <v>16.9</v>
      </c>
      <c r="H1428">
        <v>1</v>
      </c>
    </row>
    <row r="1429" spans="2:8">
      <c r="B1429" s="3">
        <v>45632</v>
      </c>
      <c r="C1429" t="s">
        <v>87</v>
      </c>
      <c r="D1429">
        <f>VLOOKUP(C1429,成本价!$C$2:$D$99,2,0)*H1429</f>
        <v>2.295</v>
      </c>
      <c r="E1429">
        <v>39.56</v>
      </c>
      <c r="G1429">
        <f t="shared" si="25"/>
        <v>37.265</v>
      </c>
      <c r="H1429">
        <v>18</v>
      </c>
    </row>
    <row r="1430" spans="2:8">
      <c r="B1430" s="3">
        <v>45632</v>
      </c>
      <c r="C1430" t="s">
        <v>88</v>
      </c>
      <c r="D1430">
        <f>VLOOKUP(C1430,成本价!$C$2:$D$99,2,0)*H1430</f>
        <v>3.24</v>
      </c>
      <c r="E1430">
        <v>0</v>
      </c>
      <c r="G1430">
        <f t="shared" ref="G1430:G1442" si="26">E1430-D1430</f>
        <v>-3.24</v>
      </c>
      <c r="H1430">
        <v>24</v>
      </c>
    </row>
    <row r="1431" spans="2:8">
      <c r="B1431" s="3">
        <v>45632</v>
      </c>
      <c r="C1431" t="s">
        <v>94</v>
      </c>
      <c r="D1431">
        <f>VLOOKUP(C1431,成本价!$C$2:$D$99,2,0)*H1431</f>
        <v>7.8</v>
      </c>
      <c r="E1431">
        <v>17.34</v>
      </c>
      <c r="G1431">
        <f t="shared" si="26"/>
        <v>9.54</v>
      </c>
      <c r="H1431">
        <v>2</v>
      </c>
    </row>
    <row r="1432" spans="2:8">
      <c r="B1432" s="3">
        <v>45632</v>
      </c>
      <c r="C1432" t="s">
        <v>59</v>
      </c>
      <c r="D1432">
        <f>VLOOKUP(C1432,成本价!$C$2:$D$99,2,0)*H1432</f>
        <v>8.7</v>
      </c>
      <c r="E1432">
        <v>29.18</v>
      </c>
      <c r="G1432">
        <f t="shared" si="26"/>
        <v>20.48</v>
      </c>
      <c r="H1432">
        <v>1</v>
      </c>
    </row>
    <row r="1433" spans="2:8">
      <c r="B1433" s="3">
        <v>45632</v>
      </c>
      <c r="C1433" t="s">
        <v>90</v>
      </c>
      <c r="D1433">
        <f>VLOOKUP(C1433,成本价!$C$2:$D$99,2,0)*H1433</f>
        <v>2.6</v>
      </c>
      <c r="G1433">
        <f t="shared" si="26"/>
        <v>-2.6</v>
      </c>
      <c r="H1433">
        <v>1</v>
      </c>
    </row>
    <row r="1434" spans="2:8">
      <c r="B1434" s="3">
        <v>45632</v>
      </c>
      <c r="C1434" t="s">
        <v>50</v>
      </c>
      <c r="D1434">
        <f>VLOOKUP(C1434,成本价!$C$2:$D$99,2,0)*H1434</f>
        <v>2.749</v>
      </c>
      <c r="E1434">
        <v>9.37</v>
      </c>
      <c r="G1434">
        <f t="shared" si="26"/>
        <v>6.621</v>
      </c>
      <c r="H1434">
        <v>1</v>
      </c>
    </row>
    <row r="1435" spans="2:8">
      <c r="B1435" s="3">
        <v>45632</v>
      </c>
      <c r="C1435" t="s">
        <v>87</v>
      </c>
      <c r="D1435">
        <f>VLOOKUP(C1435,成本价!$C$2:$D$99,2,0)*H1435</f>
        <v>0.765</v>
      </c>
      <c r="E1435">
        <v>7.24</v>
      </c>
      <c r="G1435">
        <f t="shared" si="26"/>
        <v>6.475</v>
      </c>
      <c r="H1435">
        <v>6</v>
      </c>
    </row>
    <row r="1436" spans="2:8">
      <c r="B1436" s="3">
        <v>45632</v>
      </c>
      <c r="C1436" t="s">
        <v>88</v>
      </c>
      <c r="D1436">
        <f>VLOOKUP(C1436,成本价!$C$2:$D$99,2,0)*H1436</f>
        <v>0.405</v>
      </c>
      <c r="G1436">
        <f t="shared" si="26"/>
        <v>-0.405</v>
      </c>
      <c r="H1436">
        <v>3</v>
      </c>
    </row>
    <row r="1437" spans="2:8">
      <c r="B1437" s="3">
        <v>45632</v>
      </c>
      <c r="C1437" t="s">
        <v>87</v>
      </c>
      <c r="D1437">
        <f>VLOOKUP(C1437,成本价!$C$2:$D$99,2,0)*H1437</f>
        <v>1.1475</v>
      </c>
      <c r="E1437">
        <v>9.5</v>
      </c>
      <c r="G1437">
        <f t="shared" si="26"/>
        <v>8.3525</v>
      </c>
      <c r="H1437">
        <v>9</v>
      </c>
    </row>
    <row r="1438" spans="2:8">
      <c r="B1438" s="3">
        <v>45632</v>
      </c>
      <c r="C1438" t="s">
        <v>88</v>
      </c>
      <c r="D1438">
        <f>VLOOKUP(C1438,成本价!$C$2:$D$99,2,0)*H1438</f>
        <v>0.405</v>
      </c>
      <c r="G1438">
        <f t="shared" si="26"/>
        <v>-0.405</v>
      </c>
      <c r="H1438">
        <v>3</v>
      </c>
    </row>
    <row r="1439" spans="2:8">
      <c r="B1439" s="3">
        <v>45632</v>
      </c>
      <c r="C1439" t="s">
        <v>94</v>
      </c>
      <c r="D1439">
        <f>VLOOKUP(C1439,成本价!$C$2:$D$99,2,0)*H1439</f>
        <v>3.9</v>
      </c>
      <c r="E1439">
        <v>8.67</v>
      </c>
      <c r="G1439">
        <f t="shared" si="26"/>
        <v>4.77</v>
      </c>
      <c r="H1439">
        <v>1</v>
      </c>
    </row>
    <row r="1440" spans="2:8">
      <c r="B1440" s="3">
        <v>45632</v>
      </c>
      <c r="C1440" t="s">
        <v>106</v>
      </c>
      <c r="D1440">
        <f>VLOOKUP(C1440,成本价!$C$2:$D$99,2,0)*H1440</f>
        <v>5.4</v>
      </c>
      <c r="E1440">
        <v>18.05</v>
      </c>
      <c r="G1440">
        <f t="shared" si="26"/>
        <v>12.65</v>
      </c>
      <c r="H1440">
        <v>1</v>
      </c>
    </row>
    <row r="1441" spans="2:8">
      <c r="B1441" s="3">
        <v>45632</v>
      </c>
      <c r="C1441" t="s">
        <v>50</v>
      </c>
      <c r="D1441">
        <f>VLOOKUP(C1441,成本价!$C$2:$D$99,2,0)*H1441</f>
        <v>2.749</v>
      </c>
      <c r="E1441">
        <v>9.37</v>
      </c>
      <c r="G1441">
        <f t="shared" si="26"/>
        <v>6.621</v>
      </c>
      <c r="H1441">
        <v>1</v>
      </c>
    </row>
    <row r="1442" spans="2:8">
      <c r="B1442" s="3">
        <v>45632</v>
      </c>
      <c r="C1442" t="s">
        <v>107</v>
      </c>
      <c r="D1442">
        <f>VLOOKUP(C1442,成本价!$C$2:$D$99,2,0)*H1442</f>
        <v>3</v>
      </c>
      <c r="E1442">
        <v>8.59</v>
      </c>
      <c r="G1442">
        <f t="shared" si="26"/>
        <v>5.59</v>
      </c>
      <c r="H1442">
        <v>1</v>
      </c>
    </row>
    <row r="1443" spans="2:9">
      <c r="B1443" s="3">
        <v>45632</v>
      </c>
      <c r="I1443">
        <f>175.72+2.81-9.35</f>
        <v>169.18</v>
      </c>
    </row>
    <row r="1444" spans="2:8">
      <c r="B1444" s="29">
        <v>45633</v>
      </c>
      <c r="C1444" t="s">
        <v>23</v>
      </c>
      <c r="D1444">
        <f>VLOOKUP(C1444,成本价!$C$2:$D$1000,2,0)*H1444</f>
        <v>3.12</v>
      </c>
      <c r="E1444">
        <v>7.88</v>
      </c>
      <c r="F1444">
        <v>98</v>
      </c>
      <c r="G1444">
        <f t="shared" ref="G1444:G1476" si="27">E1444-D1444</f>
        <v>4.76</v>
      </c>
      <c r="H1444">
        <v>1.5</v>
      </c>
    </row>
    <row r="1445" spans="2:8">
      <c r="B1445" s="3">
        <v>45633</v>
      </c>
      <c r="C1445" t="s">
        <v>56</v>
      </c>
      <c r="D1445">
        <f>VLOOKUP(C1445,成本价!$C$2:$D$1000,2,0)*H1445</f>
        <v>3.483</v>
      </c>
      <c r="E1445">
        <v>13.11</v>
      </c>
      <c r="G1445">
        <f t="shared" si="27"/>
        <v>9.627</v>
      </c>
      <c r="H1445">
        <v>3</v>
      </c>
    </row>
    <row r="1446" spans="2:8">
      <c r="B1446" s="3">
        <v>45633</v>
      </c>
      <c r="C1446" t="s">
        <v>108</v>
      </c>
      <c r="D1446">
        <f>VLOOKUP(C1446,成本价!$C$2:$D$1000,2,0)*H1446</f>
        <v>3.57</v>
      </c>
      <c r="E1446">
        <v>8.77</v>
      </c>
      <c r="G1446">
        <f t="shared" si="27"/>
        <v>5.2</v>
      </c>
      <c r="H1446">
        <v>1</v>
      </c>
    </row>
    <row r="1447" spans="2:8">
      <c r="B1447" s="3">
        <v>45633</v>
      </c>
      <c r="C1447" t="s">
        <v>49</v>
      </c>
      <c r="D1447">
        <f>VLOOKUP(C1447,成本价!$C$2:$D$1000,2,0)*H1447</f>
        <v>1.975</v>
      </c>
      <c r="E1447">
        <v>10.13</v>
      </c>
      <c r="G1447">
        <f t="shared" si="27"/>
        <v>8.155</v>
      </c>
      <c r="H1447">
        <v>1</v>
      </c>
    </row>
    <row r="1448" spans="2:8">
      <c r="B1448" s="3">
        <v>45633</v>
      </c>
      <c r="C1448" t="s">
        <v>33</v>
      </c>
      <c r="D1448">
        <f>VLOOKUP(C1448,成本价!$C$2:$D$1000,2,0)*H1448</f>
        <v>2.55</v>
      </c>
      <c r="E1448">
        <v>7.88</v>
      </c>
      <c r="G1448">
        <f t="shared" si="27"/>
        <v>5.33</v>
      </c>
      <c r="H1448">
        <v>1.5</v>
      </c>
    </row>
    <row r="1449" spans="2:8">
      <c r="B1449" s="3">
        <v>45633</v>
      </c>
      <c r="C1449" t="s">
        <v>49</v>
      </c>
      <c r="D1449">
        <f>VLOOKUP(C1449,成本价!$C$2:$D$1000,2,0)*H1449</f>
        <v>1.975</v>
      </c>
      <c r="E1449">
        <v>10.6</v>
      </c>
      <c r="G1449">
        <f t="shared" si="27"/>
        <v>8.625</v>
      </c>
      <c r="H1449">
        <v>1</v>
      </c>
    </row>
    <row r="1450" spans="2:8">
      <c r="B1450" s="3">
        <v>45633</v>
      </c>
      <c r="C1450" t="s">
        <v>77</v>
      </c>
      <c r="D1450">
        <f>VLOOKUP(C1450,成本价!$C$2:$D$1000,2,0)*H1450</f>
        <v>0.4032</v>
      </c>
      <c r="E1450">
        <v>6.04</v>
      </c>
      <c r="G1450">
        <f t="shared" si="27"/>
        <v>5.6368</v>
      </c>
      <c r="H1450">
        <v>1</v>
      </c>
    </row>
    <row r="1451" spans="2:8">
      <c r="B1451" s="3">
        <v>45633</v>
      </c>
      <c r="C1451" t="s">
        <v>12</v>
      </c>
      <c r="D1451">
        <f>VLOOKUP(C1451,成本价!$C$2:$D$1000,2,0)*H1451</f>
        <v>0.774</v>
      </c>
      <c r="E1451">
        <v>8.7</v>
      </c>
      <c r="G1451">
        <f t="shared" si="27"/>
        <v>7.926</v>
      </c>
      <c r="H1451">
        <v>2</v>
      </c>
    </row>
    <row r="1452" spans="2:8">
      <c r="B1452" s="3">
        <v>45633</v>
      </c>
      <c r="C1452" t="s">
        <v>44</v>
      </c>
      <c r="D1452">
        <f>VLOOKUP(C1452,成本价!$C$2:$D$1000,2,0)*H1452</f>
        <v>0.397</v>
      </c>
      <c r="G1452">
        <f t="shared" si="27"/>
        <v>-0.397</v>
      </c>
      <c r="H1452">
        <v>1</v>
      </c>
    </row>
    <row r="1453" spans="2:8">
      <c r="B1453" s="3">
        <v>45633</v>
      </c>
      <c r="C1453" t="s">
        <v>93</v>
      </c>
      <c r="D1453">
        <f>VLOOKUP(C1453,成本价!$C$2:$D$1000,2,0)*H1453</f>
        <v>4.77</v>
      </c>
      <c r="E1453">
        <v>15.62</v>
      </c>
      <c r="G1453">
        <f t="shared" si="27"/>
        <v>10.85</v>
      </c>
      <c r="H1453">
        <v>1</v>
      </c>
    </row>
    <row r="1454" spans="2:8">
      <c r="B1454" s="3">
        <v>45633</v>
      </c>
      <c r="C1454" t="s">
        <v>96</v>
      </c>
      <c r="D1454">
        <f>VLOOKUP(C1454,成本价!$C$2:$D$1000,2,0)*H1454</f>
        <v>5.1</v>
      </c>
      <c r="E1454">
        <v>7.71</v>
      </c>
      <c r="G1454">
        <f t="shared" si="27"/>
        <v>2.61</v>
      </c>
      <c r="H1454">
        <v>1</v>
      </c>
    </row>
    <row r="1455" spans="2:8">
      <c r="B1455" s="3">
        <v>45633</v>
      </c>
      <c r="C1455" t="s">
        <v>107</v>
      </c>
      <c r="D1455">
        <f>VLOOKUP(C1455,成本价!$C$2:$D$1000,2,0)*H1455</f>
        <v>3</v>
      </c>
      <c r="E1455">
        <v>14.42</v>
      </c>
      <c r="G1455">
        <f t="shared" si="27"/>
        <v>11.42</v>
      </c>
      <c r="H1455">
        <v>1</v>
      </c>
    </row>
    <row r="1456" spans="2:8">
      <c r="B1456" s="3">
        <v>45633</v>
      </c>
      <c r="C1456" t="s">
        <v>12</v>
      </c>
      <c r="D1456">
        <f>VLOOKUP(C1456,成本价!$C$2:$D$1000,2,0)*H1456</f>
        <v>0.387</v>
      </c>
      <c r="E1456">
        <v>3.84</v>
      </c>
      <c r="G1456">
        <f t="shared" si="27"/>
        <v>3.453</v>
      </c>
      <c r="H1456">
        <v>1</v>
      </c>
    </row>
    <row r="1457" spans="2:8">
      <c r="B1457" s="3">
        <v>45633</v>
      </c>
      <c r="C1457" t="s">
        <v>57</v>
      </c>
      <c r="D1457">
        <f>VLOOKUP(C1457,成本价!$C$2:$D$1000,2,0)*H1457</f>
        <v>8.9</v>
      </c>
      <c r="E1457">
        <v>22.5</v>
      </c>
      <c r="G1457">
        <f t="shared" si="27"/>
        <v>13.6</v>
      </c>
      <c r="H1457">
        <v>1</v>
      </c>
    </row>
    <row r="1458" spans="2:8">
      <c r="B1458" s="3">
        <v>45633</v>
      </c>
      <c r="C1458" t="s">
        <v>90</v>
      </c>
      <c r="D1458">
        <f>VLOOKUP(C1458,成本价!$C$2:$D$1000,2,0)*H1458</f>
        <v>2.6</v>
      </c>
      <c r="G1458">
        <f t="shared" si="27"/>
        <v>-2.6</v>
      </c>
      <c r="H1458">
        <v>1</v>
      </c>
    </row>
    <row r="1459" spans="2:8">
      <c r="B1459" s="3">
        <v>45633</v>
      </c>
      <c r="C1459" t="s">
        <v>12</v>
      </c>
      <c r="D1459">
        <f>VLOOKUP(C1459,成本价!$C$2:$D$1000,2,0)*H1459</f>
        <v>3.096</v>
      </c>
      <c r="E1459">
        <v>16.43</v>
      </c>
      <c r="G1459">
        <f t="shared" si="27"/>
        <v>13.334</v>
      </c>
      <c r="H1459">
        <v>8</v>
      </c>
    </row>
    <row r="1460" spans="2:8">
      <c r="B1460" s="3">
        <v>45633</v>
      </c>
      <c r="C1460" t="s">
        <v>44</v>
      </c>
      <c r="D1460">
        <f>VLOOKUP(C1460,成本价!$C$2:$D$1000,2,0)*H1460</f>
        <v>0.794</v>
      </c>
      <c r="G1460">
        <f t="shared" si="27"/>
        <v>-0.794</v>
      </c>
      <c r="H1460">
        <v>2</v>
      </c>
    </row>
    <row r="1461" spans="2:8">
      <c r="B1461" s="3">
        <v>45633</v>
      </c>
      <c r="C1461" t="s">
        <v>55</v>
      </c>
      <c r="D1461">
        <f>VLOOKUP(C1461,成本价!$C$2:$D$1000,2,0)*H1461</f>
        <v>3.513</v>
      </c>
      <c r="E1461">
        <v>13.4</v>
      </c>
      <c r="G1461">
        <f t="shared" si="27"/>
        <v>9.887</v>
      </c>
      <c r="H1461">
        <v>3</v>
      </c>
    </row>
    <row r="1462" spans="2:8">
      <c r="B1462" s="3">
        <v>45633</v>
      </c>
      <c r="C1462" t="s">
        <v>87</v>
      </c>
      <c r="D1462">
        <f>VLOOKUP(C1462,成本价!$C$2:$D$1000,2,0)*H1462</f>
        <v>0.765</v>
      </c>
      <c r="E1462">
        <v>7.24</v>
      </c>
      <c r="G1462">
        <f t="shared" si="27"/>
        <v>6.475</v>
      </c>
      <c r="H1462">
        <v>6</v>
      </c>
    </row>
    <row r="1463" spans="2:8">
      <c r="B1463" s="3">
        <v>45633</v>
      </c>
      <c r="C1463" t="s">
        <v>88</v>
      </c>
      <c r="D1463">
        <f>VLOOKUP(C1463,成本价!$C$2:$D$1000,2,0)*H1463</f>
        <v>0.405</v>
      </c>
      <c r="G1463">
        <f t="shared" si="27"/>
        <v>-0.405</v>
      </c>
      <c r="H1463">
        <v>3</v>
      </c>
    </row>
    <row r="1464" spans="2:8">
      <c r="B1464" s="3">
        <v>45633</v>
      </c>
      <c r="C1464" t="s">
        <v>87</v>
      </c>
      <c r="D1464">
        <f>VLOOKUP(C1464,成本价!$C$2:$D$1000,2,0)*H1464</f>
        <v>0.51</v>
      </c>
      <c r="E1464">
        <v>14</v>
      </c>
      <c r="G1464">
        <f t="shared" si="27"/>
        <v>13.49</v>
      </c>
      <c r="H1464">
        <v>4</v>
      </c>
    </row>
    <row r="1465" spans="2:8">
      <c r="B1465" s="3">
        <v>45633</v>
      </c>
      <c r="C1465" t="s">
        <v>88</v>
      </c>
      <c r="D1465">
        <f>VLOOKUP(C1465,成本价!$C$2:$D$1000,2,0)*H1465</f>
        <v>2.16</v>
      </c>
      <c r="G1465">
        <f t="shared" si="27"/>
        <v>-2.16</v>
      </c>
      <c r="H1465">
        <v>16</v>
      </c>
    </row>
    <row r="1466" spans="2:8">
      <c r="B1466" s="3">
        <v>45633</v>
      </c>
      <c r="C1466" t="s">
        <v>40</v>
      </c>
      <c r="D1466">
        <f>VLOOKUP(C1466,成本价!$C$2:$D$1000,2,0)*H1466</f>
        <v>1.88</v>
      </c>
      <c r="E1466">
        <v>7.72</v>
      </c>
      <c r="G1466">
        <f t="shared" si="27"/>
        <v>5.84</v>
      </c>
      <c r="H1466">
        <v>1</v>
      </c>
    </row>
    <row r="1467" spans="2:8">
      <c r="B1467" s="3">
        <v>45633</v>
      </c>
      <c r="C1467" t="s">
        <v>55</v>
      </c>
      <c r="D1467">
        <f>VLOOKUP(C1467,成本价!$C$2:$D$1000,2,0)*H1467</f>
        <v>3.513</v>
      </c>
      <c r="E1467">
        <v>13.4</v>
      </c>
      <c r="G1467">
        <f t="shared" si="27"/>
        <v>9.887</v>
      </c>
      <c r="H1467">
        <v>3</v>
      </c>
    </row>
    <row r="1468" spans="2:8">
      <c r="B1468" s="3">
        <v>45633</v>
      </c>
      <c r="C1468" t="s">
        <v>87</v>
      </c>
      <c r="D1468">
        <f>VLOOKUP(C1468,成本价!$C$2:$D$1000,2,0)*H1468</f>
        <v>0.3825</v>
      </c>
      <c r="E1468">
        <v>7.24</v>
      </c>
      <c r="G1468">
        <f t="shared" si="27"/>
        <v>6.8575</v>
      </c>
      <c r="H1468">
        <v>3</v>
      </c>
    </row>
    <row r="1469" spans="2:8">
      <c r="B1469" s="3">
        <v>45633</v>
      </c>
      <c r="C1469" t="s">
        <v>88</v>
      </c>
      <c r="D1469">
        <f>VLOOKUP(C1469,成本价!$C$2:$D$1000,2,0)*H1469</f>
        <v>0.54</v>
      </c>
      <c r="G1469">
        <f t="shared" si="27"/>
        <v>-0.54</v>
      </c>
      <c r="H1469">
        <v>4</v>
      </c>
    </row>
    <row r="1470" spans="2:8">
      <c r="B1470" s="3">
        <v>45633</v>
      </c>
      <c r="C1470" t="s">
        <v>96</v>
      </c>
      <c r="D1470">
        <f>VLOOKUP(C1470,成本价!$C$2:$D$1000,2,0)*H1470</f>
        <v>5.1</v>
      </c>
      <c r="E1470">
        <v>15.2</v>
      </c>
      <c r="G1470">
        <f t="shared" si="27"/>
        <v>10.1</v>
      </c>
      <c r="H1470">
        <v>1</v>
      </c>
    </row>
    <row r="1471" spans="2:8">
      <c r="B1471" s="3">
        <v>45633</v>
      </c>
      <c r="C1471" t="s">
        <v>100</v>
      </c>
      <c r="D1471">
        <f>VLOOKUP(C1471,成本价!$C$2:$D$1000,2,0)*H1471</f>
        <v>5.07</v>
      </c>
      <c r="E1471">
        <v>14.1</v>
      </c>
      <c r="G1471">
        <f t="shared" si="27"/>
        <v>9.03</v>
      </c>
      <c r="H1471">
        <v>1</v>
      </c>
    </row>
    <row r="1472" spans="2:8">
      <c r="B1472" s="3">
        <v>45633</v>
      </c>
      <c r="C1472" t="s">
        <v>50</v>
      </c>
      <c r="D1472">
        <f>VLOOKUP(C1472,成本价!$C$2:$D$1000,2,0)*H1472</f>
        <v>2.749</v>
      </c>
      <c r="E1472">
        <v>11.64</v>
      </c>
      <c r="G1472">
        <f t="shared" si="27"/>
        <v>8.891</v>
      </c>
      <c r="H1472">
        <v>1</v>
      </c>
    </row>
    <row r="1473" spans="2:8">
      <c r="B1473" s="3">
        <v>45633</v>
      </c>
      <c r="C1473" t="s">
        <v>109</v>
      </c>
      <c r="D1473">
        <f>VLOOKUP(C1473,成本价!$C$2:$D$1000,2,0)*H1473</f>
        <v>0.9225</v>
      </c>
      <c r="E1473">
        <v>7.24</v>
      </c>
      <c r="G1473">
        <f t="shared" si="27"/>
        <v>6.3175</v>
      </c>
      <c r="H1473">
        <v>1</v>
      </c>
    </row>
    <row r="1474" spans="2:8">
      <c r="B1474" s="3">
        <v>45633</v>
      </c>
      <c r="C1474" t="s">
        <v>36</v>
      </c>
      <c r="D1474">
        <f>VLOOKUP(C1474,成本价!$C$2:$D$1000,2,0)*H1474</f>
        <v>3.48</v>
      </c>
      <c r="E1474">
        <v>5.85</v>
      </c>
      <c r="G1474">
        <f t="shared" si="27"/>
        <v>2.37</v>
      </c>
      <c r="H1474">
        <v>1.5</v>
      </c>
    </row>
    <row r="1475" spans="2:8">
      <c r="B1475" s="3">
        <v>45633</v>
      </c>
      <c r="C1475" t="s">
        <v>80</v>
      </c>
      <c r="D1475">
        <f>VLOOKUP(C1475,成本价!$C$2:$D$1000,2,0)*H1475</f>
        <v>8.1</v>
      </c>
      <c r="E1475">
        <v>17.22</v>
      </c>
      <c r="G1475">
        <f t="shared" si="27"/>
        <v>9.12</v>
      </c>
      <c r="H1475">
        <v>1</v>
      </c>
    </row>
    <row r="1476" spans="2:10">
      <c r="B1476" s="3">
        <v>45633</v>
      </c>
      <c r="C1476" t="s">
        <v>110</v>
      </c>
      <c r="D1476">
        <f>VLOOKUP(C1476,成本价!$C$2:$D$1000,2,0)*H1476</f>
        <v>0.6912</v>
      </c>
      <c r="E1476">
        <v>8.96</v>
      </c>
      <c r="G1476">
        <f t="shared" si="27"/>
        <v>8.2688</v>
      </c>
      <c r="H1476">
        <v>1</v>
      </c>
      <c r="J1476" s="2" t="s">
        <v>74</v>
      </c>
    </row>
    <row r="1477" spans="2:9">
      <c r="B1477" s="3">
        <v>45633</v>
      </c>
      <c r="I1477">
        <f>114.82+9.35-11.64</f>
        <v>112.53</v>
      </c>
    </row>
    <row r="1478" spans="2:8">
      <c r="B1478" s="29">
        <v>45634</v>
      </c>
      <c r="C1478" t="s">
        <v>49</v>
      </c>
      <c r="D1478">
        <f>VLOOKUP(C1478,成本价!$C$2:$D$1000,2,0)*H1478</f>
        <v>1.975</v>
      </c>
      <c r="E1478">
        <v>10.55</v>
      </c>
      <c r="F1478">
        <v>66.5</v>
      </c>
      <c r="G1478">
        <f t="shared" ref="G1478:G1501" si="28">E1478-D1478</f>
        <v>8.575</v>
      </c>
      <c r="H1478">
        <v>1</v>
      </c>
    </row>
    <row r="1479" spans="2:8">
      <c r="B1479" s="3">
        <v>45634</v>
      </c>
      <c r="C1479" t="s">
        <v>36</v>
      </c>
      <c r="D1479">
        <f>VLOOKUP(C1479,成本价!$C$2:$D$1000,2,0)*H1479</f>
        <v>3.48</v>
      </c>
      <c r="E1479">
        <v>5.85</v>
      </c>
      <c r="G1479">
        <f t="shared" si="28"/>
        <v>2.37</v>
      </c>
      <c r="H1479">
        <v>1.5</v>
      </c>
    </row>
    <row r="1480" spans="2:8">
      <c r="B1480" s="3">
        <v>45634</v>
      </c>
      <c r="C1480" t="s">
        <v>33</v>
      </c>
      <c r="D1480">
        <f>VLOOKUP(C1480,成本价!$C$2:$D$1000,2,0)*H1480</f>
        <v>1.7</v>
      </c>
      <c r="E1480">
        <v>5.85</v>
      </c>
      <c r="G1480">
        <f t="shared" si="28"/>
        <v>4.15</v>
      </c>
      <c r="H1480">
        <v>1</v>
      </c>
    </row>
    <row r="1481" spans="2:8">
      <c r="B1481" s="3">
        <v>45634</v>
      </c>
      <c r="C1481" t="s">
        <v>27</v>
      </c>
      <c r="D1481">
        <f>VLOOKUP(C1481,成本价!$C$2:$D$1000,2,0)*H1481</f>
        <v>3.6</v>
      </c>
      <c r="E1481">
        <f>7.25+7.85</f>
        <v>15.1</v>
      </c>
      <c r="G1481">
        <f t="shared" si="28"/>
        <v>11.5</v>
      </c>
      <c r="H1481">
        <v>2</v>
      </c>
    </row>
    <row r="1482" spans="2:8">
      <c r="B1482" s="3">
        <v>45634</v>
      </c>
      <c r="C1482" t="s">
        <v>50</v>
      </c>
      <c r="D1482">
        <f>VLOOKUP(C1482,成本价!$C$2:$D$1000,2,0)*H1482</f>
        <v>2.749</v>
      </c>
      <c r="E1482">
        <v>11.64</v>
      </c>
      <c r="G1482">
        <f t="shared" si="28"/>
        <v>8.891</v>
      </c>
      <c r="H1482">
        <v>1</v>
      </c>
    </row>
    <row r="1483" spans="2:8">
      <c r="B1483" s="3">
        <v>45634</v>
      </c>
      <c r="C1483" t="s">
        <v>37</v>
      </c>
      <c r="D1483">
        <f>VLOOKUP(C1483,成本价!$C$2:$D$1000,2,0)*H1483</f>
        <v>3.81</v>
      </c>
      <c r="E1483">
        <v>5.85</v>
      </c>
      <c r="G1483">
        <f t="shared" si="28"/>
        <v>2.04</v>
      </c>
      <c r="H1483">
        <v>1.5</v>
      </c>
    </row>
    <row r="1484" spans="2:8">
      <c r="B1484" s="3">
        <v>45634</v>
      </c>
      <c r="C1484" t="s">
        <v>40</v>
      </c>
      <c r="D1484">
        <f>VLOOKUP(C1484,成本价!$C$2:$D$1000,2,0)*H1484</f>
        <v>1.88</v>
      </c>
      <c r="E1484">
        <v>7.72</v>
      </c>
      <c r="G1484">
        <f t="shared" si="28"/>
        <v>5.84</v>
      </c>
      <c r="H1484">
        <v>1</v>
      </c>
    </row>
    <row r="1485" spans="2:8">
      <c r="B1485" s="3">
        <v>45634</v>
      </c>
      <c r="C1485" t="s">
        <v>93</v>
      </c>
      <c r="D1485">
        <f>VLOOKUP(C1485,成本价!$C$2:$D$1000,2,0)*H1485</f>
        <v>4.77</v>
      </c>
      <c r="E1485">
        <v>15.62</v>
      </c>
      <c r="G1485">
        <f t="shared" si="28"/>
        <v>10.85</v>
      </c>
      <c r="H1485">
        <v>1</v>
      </c>
    </row>
    <row r="1486" spans="2:8">
      <c r="B1486" s="3">
        <v>45634</v>
      </c>
      <c r="C1486" t="s">
        <v>54</v>
      </c>
      <c r="D1486">
        <f>VLOOKUP(C1486,成本价!$C$2:$D$1000,2,0)*H1486</f>
        <v>14.7</v>
      </c>
      <c r="E1486">
        <v>28.84</v>
      </c>
      <c r="G1486">
        <f t="shared" si="28"/>
        <v>14.14</v>
      </c>
      <c r="H1486">
        <v>1</v>
      </c>
    </row>
    <row r="1487" spans="2:8">
      <c r="B1487" s="3">
        <v>45634</v>
      </c>
      <c r="C1487" t="s">
        <v>95</v>
      </c>
      <c r="D1487">
        <f>VLOOKUP(C1487,成本价!$C$2:$D$1000,2,0)*H1487</f>
        <v>2.4</v>
      </c>
      <c r="E1487">
        <v>9.07</v>
      </c>
      <c r="G1487">
        <f t="shared" si="28"/>
        <v>6.67</v>
      </c>
      <c r="H1487">
        <v>1</v>
      </c>
    </row>
    <row r="1488" spans="2:8">
      <c r="B1488" s="3">
        <v>45634</v>
      </c>
      <c r="C1488" t="s">
        <v>40</v>
      </c>
      <c r="D1488">
        <f>VLOOKUP(C1488,成本价!$C$2:$D$1000,2,0)*H1488</f>
        <v>2.82</v>
      </c>
      <c r="E1488">
        <v>7.85</v>
      </c>
      <c r="G1488">
        <f t="shared" si="28"/>
        <v>5.03</v>
      </c>
      <c r="H1488">
        <v>1.5</v>
      </c>
    </row>
    <row r="1489" spans="2:8">
      <c r="B1489" s="3">
        <v>45634</v>
      </c>
      <c r="C1489" t="s">
        <v>45</v>
      </c>
      <c r="D1489">
        <f>VLOOKUP(C1489,成本价!$C$2:$D$1000,2,0)*H1489</f>
        <v>7.2</v>
      </c>
      <c r="E1489">
        <v>37.26</v>
      </c>
      <c r="G1489">
        <f t="shared" si="28"/>
        <v>30.06</v>
      </c>
      <c r="H1489">
        <v>3</v>
      </c>
    </row>
    <row r="1490" spans="2:8">
      <c r="B1490" s="3">
        <v>45634</v>
      </c>
      <c r="C1490" t="s">
        <v>46</v>
      </c>
      <c r="D1490">
        <f>VLOOKUP(C1490,成本价!$C$2:$D$1000,2,0)*H1490</f>
        <v>10.8</v>
      </c>
      <c r="G1490">
        <f t="shared" si="28"/>
        <v>-10.8</v>
      </c>
      <c r="H1490">
        <v>4</v>
      </c>
    </row>
    <row r="1491" spans="2:8">
      <c r="B1491" s="3">
        <v>45634</v>
      </c>
      <c r="C1491" t="s">
        <v>23</v>
      </c>
      <c r="D1491">
        <f>VLOOKUP(C1491,成本价!$C$2:$D$1000,2,0)*H1491</f>
        <v>6.24</v>
      </c>
      <c r="E1491">
        <f>14.52+5.74</f>
        <v>20.26</v>
      </c>
      <c r="G1491">
        <f t="shared" si="28"/>
        <v>14.02</v>
      </c>
      <c r="H1491">
        <v>3</v>
      </c>
    </row>
    <row r="1492" spans="2:8">
      <c r="B1492" s="3">
        <v>45634</v>
      </c>
      <c r="C1492" t="s">
        <v>93</v>
      </c>
      <c r="D1492">
        <f>VLOOKUP(C1492,成本价!$C$2:$D$1000,2,0)*H1492</f>
        <v>4.77</v>
      </c>
      <c r="E1492">
        <v>15.62</v>
      </c>
      <c r="G1492">
        <f t="shared" si="28"/>
        <v>10.85</v>
      </c>
      <c r="H1492">
        <v>1</v>
      </c>
    </row>
    <row r="1493" spans="2:8">
      <c r="B1493" s="3">
        <v>45634</v>
      </c>
      <c r="C1493" t="s">
        <v>43</v>
      </c>
      <c r="D1493">
        <f>VLOOKUP(C1493,成本价!$C$2:$D$1000,2,0)*H1493</f>
        <v>3.03</v>
      </c>
      <c r="E1493">
        <v>7.24</v>
      </c>
      <c r="G1493">
        <f t="shared" si="28"/>
        <v>4.21</v>
      </c>
      <c r="H1493">
        <v>1.5</v>
      </c>
    </row>
    <row r="1494" spans="2:8">
      <c r="B1494" s="3">
        <v>45634</v>
      </c>
      <c r="C1494" t="s">
        <v>66</v>
      </c>
      <c r="D1494">
        <f>VLOOKUP(C1494,成本价!$C$2:$D$1000,2,0)*H1494</f>
        <v>6.24</v>
      </c>
      <c r="E1494">
        <v>19.05</v>
      </c>
      <c r="G1494">
        <f t="shared" si="28"/>
        <v>12.81</v>
      </c>
      <c r="H1494">
        <v>1</v>
      </c>
    </row>
    <row r="1495" spans="2:8">
      <c r="B1495" s="3">
        <v>45634</v>
      </c>
      <c r="C1495" t="s">
        <v>109</v>
      </c>
      <c r="D1495">
        <f>VLOOKUP(C1495,成本价!$C$2:$D$1000,2,0)*H1495</f>
        <v>0.9225</v>
      </c>
      <c r="E1495">
        <v>7.24</v>
      </c>
      <c r="G1495">
        <f t="shared" si="28"/>
        <v>6.3175</v>
      </c>
      <c r="H1495">
        <v>1</v>
      </c>
    </row>
    <row r="1496" spans="2:10">
      <c r="B1496" s="3">
        <v>45634</v>
      </c>
      <c r="C1496" t="s">
        <v>60</v>
      </c>
      <c r="D1496">
        <f>VLOOKUP(C1496,成本价!$C$2:$D$1000,2,0)*H1496</f>
        <v>5.2</v>
      </c>
      <c r="E1496">
        <v>16.94</v>
      </c>
      <c r="G1496">
        <f t="shared" si="28"/>
        <v>11.74</v>
      </c>
      <c r="H1496">
        <v>1</v>
      </c>
      <c r="J1496" s="2" t="s">
        <v>74</v>
      </c>
    </row>
    <row r="1497" spans="2:10">
      <c r="B1497" s="3">
        <v>45634</v>
      </c>
      <c r="C1497" t="s">
        <v>98</v>
      </c>
      <c r="D1497">
        <f>VLOOKUP(C1497,成本价!$C$2:$D$1000,2,0)*H1497</f>
        <v>10.68</v>
      </c>
      <c r="E1497">
        <v>23.17</v>
      </c>
      <c r="G1497">
        <f t="shared" si="28"/>
        <v>12.49</v>
      </c>
      <c r="H1497">
        <v>1</v>
      </c>
      <c r="J1497" s="2" t="s">
        <v>74</v>
      </c>
    </row>
    <row r="1498" spans="2:10">
      <c r="B1498" s="3">
        <v>45634</v>
      </c>
      <c r="C1498" t="s">
        <v>92</v>
      </c>
      <c r="D1498">
        <f>VLOOKUP(C1498,成本价!$C$2:$D$1000,2,0)*H1498</f>
        <v>3</v>
      </c>
      <c r="G1498">
        <f t="shared" si="28"/>
        <v>-3</v>
      </c>
      <c r="H1498">
        <v>1</v>
      </c>
      <c r="J1498" s="2" t="s">
        <v>74</v>
      </c>
    </row>
    <row r="1499" spans="2:10">
      <c r="B1499" s="3">
        <v>45634</v>
      </c>
      <c r="C1499" t="s">
        <v>63</v>
      </c>
      <c r="D1499">
        <f>VLOOKUP(C1499,成本价!$C$2:$D$1000,2,0)*H1499</f>
        <v>5.1</v>
      </c>
      <c r="E1499">
        <v>17.5</v>
      </c>
      <c r="G1499">
        <f t="shared" si="28"/>
        <v>12.4</v>
      </c>
      <c r="H1499">
        <v>1</v>
      </c>
      <c r="J1499" s="2" t="s">
        <v>74</v>
      </c>
    </row>
    <row r="1500" spans="2:10">
      <c r="B1500" s="3">
        <v>45634</v>
      </c>
      <c r="C1500" t="s">
        <v>59</v>
      </c>
      <c r="D1500">
        <f>VLOOKUP(C1500,成本价!$C$2:$D$1000,2,0)*H1500</f>
        <v>8.7</v>
      </c>
      <c r="E1500">
        <v>24</v>
      </c>
      <c r="G1500">
        <f t="shared" si="28"/>
        <v>15.3</v>
      </c>
      <c r="H1500">
        <v>1</v>
      </c>
      <c r="J1500" s="2" t="s">
        <v>74</v>
      </c>
    </row>
    <row r="1501" spans="2:10">
      <c r="B1501" s="3">
        <v>45634</v>
      </c>
      <c r="C1501" t="s">
        <v>90</v>
      </c>
      <c r="D1501">
        <f>VLOOKUP(C1501,成本价!$C$2:$D$1000,2,0)*H1501</f>
        <v>2.6</v>
      </c>
      <c r="G1501">
        <f t="shared" si="28"/>
        <v>-2.6</v>
      </c>
      <c r="H1501">
        <v>1</v>
      </c>
      <c r="J1501" s="2" t="s">
        <v>74</v>
      </c>
    </row>
    <row r="1502" spans="2:9">
      <c r="B1502" s="3">
        <v>45634</v>
      </c>
      <c r="I1502">
        <f>81.23+11.64-4.95-4.95</f>
        <v>82.97</v>
      </c>
    </row>
    <row r="1503" spans="2:8">
      <c r="B1503" s="29">
        <v>45635</v>
      </c>
      <c r="C1503" t="s">
        <v>87</v>
      </c>
      <c r="D1503">
        <f>VLOOKUP(C1503,成本价!$C$2:$D$1000,2,0)*H1503</f>
        <v>0.3825</v>
      </c>
      <c r="E1503">
        <v>7.23</v>
      </c>
      <c r="F1503">
        <v>101.5</v>
      </c>
      <c r="G1503">
        <f t="shared" ref="G1503:G1566" si="29">E1503-D1503</f>
        <v>6.8475</v>
      </c>
      <c r="H1503">
        <v>3</v>
      </c>
    </row>
    <row r="1504" spans="2:8">
      <c r="B1504" s="3">
        <v>45635</v>
      </c>
      <c r="C1504" t="s">
        <v>88</v>
      </c>
      <c r="D1504">
        <f>VLOOKUP(C1504,成本价!$C$2:$D$1000,2,0)*H1504</f>
        <v>0.81</v>
      </c>
      <c r="G1504">
        <f t="shared" si="29"/>
        <v>-0.81</v>
      </c>
      <c r="H1504">
        <v>6</v>
      </c>
    </row>
    <row r="1505" spans="2:8">
      <c r="B1505" s="3">
        <v>45635</v>
      </c>
      <c r="C1505" t="s">
        <v>60</v>
      </c>
      <c r="D1505">
        <f>VLOOKUP(C1505,成本价!$C$2:$D$1000,2,0)*H1505</f>
        <v>5.2</v>
      </c>
      <c r="E1505">
        <v>18.12</v>
      </c>
      <c r="G1505">
        <f t="shared" si="29"/>
        <v>12.92</v>
      </c>
      <c r="H1505">
        <v>1</v>
      </c>
    </row>
    <row r="1506" spans="2:8">
      <c r="B1506" s="3">
        <v>45635</v>
      </c>
      <c r="C1506" t="s">
        <v>94</v>
      </c>
      <c r="D1506">
        <f>VLOOKUP(C1506,成本价!$C$2:$D$1000,2,0)*H1506</f>
        <v>3.9</v>
      </c>
      <c r="E1506">
        <v>9.62</v>
      </c>
      <c r="G1506">
        <f t="shared" si="29"/>
        <v>5.72</v>
      </c>
      <c r="H1506">
        <v>1</v>
      </c>
    </row>
    <row r="1507" spans="2:8">
      <c r="B1507" s="3">
        <v>45635</v>
      </c>
      <c r="C1507" t="s">
        <v>50</v>
      </c>
      <c r="D1507">
        <f>VLOOKUP(C1507,成本价!$C$2:$D$1000,2,0)*H1507</f>
        <v>2.749</v>
      </c>
      <c r="E1507">
        <v>11.38</v>
      </c>
      <c r="G1507">
        <f t="shared" si="29"/>
        <v>8.631</v>
      </c>
      <c r="H1507">
        <v>1</v>
      </c>
    </row>
    <row r="1508" spans="2:8">
      <c r="B1508" s="3">
        <v>45635</v>
      </c>
      <c r="C1508" t="s">
        <v>50</v>
      </c>
      <c r="D1508">
        <f>VLOOKUP(C1508,成本价!$C$2:$D$1000,2,0)*H1508</f>
        <v>2.749</v>
      </c>
      <c r="E1508">
        <v>11.38</v>
      </c>
      <c r="G1508">
        <f t="shared" si="29"/>
        <v>8.631</v>
      </c>
      <c r="H1508">
        <v>1</v>
      </c>
    </row>
    <row r="1509" spans="2:8">
      <c r="B1509" s="3">
        <v>45635</v>
      </c>
      <c r="C1509" t="s">
        <v>33</v>
      </c>
      <c r="D1509">
        <f>VLOOKUP(C1509,成本价!$C$2:$D$1000,2,0)*H1509</f>
        <v>3.4</v>
      </c>
      <c r="E1509">
        <f>7.46*2</f>
        <v>14.92</v>
      </c>
      <c r="G1509">
        <f t="shared" si="29"/>
        <v>11.52</v>
      </c>
      <c r="H1509">
        <v>2</v>
      </c>
    </row>
    <row r="1510" spans="2:8">
      <c r="B1510" s="3">
        <v>45635</v>
      </c>
      <c r="C1510" t="s">
        <v>87</v>
      </c>
      <c r="D1510">
        <f>VLOOKUP(C1510,成本价!$C$2:$D$1000,2,0)*H1510</f>
        <v>1.1475</v>
      </c>
      <c r="E1510">
        <v>7.23</v>
      </c>
      <c r="G1510">
        <f t="shared" si="29"/>
        <v>6.0825</v>
      </c>
      <c r="H1510">
        <v>9</v>
      </c>
    </row>
    <row r="1511" spans="2:8">
      <c r="B1511" s="3">
        <v>45635</v>
      </c>
      <c r="C1511" t="s">
        <v>54</v>
      </c>
      <c r="D1511">
        <f>VLOOKUP(C1511,成本价!$C$2:$D$1000,2,0)*H1511</f>
        <v>14.7</v>
      </c>
      <c r="E1511">
        <v>28.14</v>
      </c>
      <c r="G1511">
        <f t="shared" si="29"/>
        <v>13.44</v>
      </c>
      <c r="H1511">
        <v>1</v>
      </c>
    </row>
    <row r="1512" spans="2:8">
      <c r="B1512" s="3">
        <v>45635</v>
      </c>
      <c r="C1512" t="s">
        <v>55</v>
      </c>
      <c r="D1512">
        <f>VLOOKUP(C1512,成本价!$C$2:$D$1000,2,0)*H1512</f>
        <v>3.513</v>
      </c>
      <c r="E1512">
        <v>13.11</v>
      </c>
      <c r="G1512">
        <f t="shared" si="29"/>
        <v>9.597</v>
      </c>
      <c r="H1512">
        <v>3</v>
      </c>
    </row>
    <row r="1513" spans="2:8">
      <c r="B1513" s="3">
        <v>45635</v>
      </c>
      <c r="C1513" t="s">
        <v>36</v>
      </c>
      <c r="D1513">
        <f>VLOOKUP(C1513,成本价!$C$2:$D$1000,2,0)*H1513</f>
        <v>3.48</v>
      </c>
      <c r="E1513">
        <v>5.24</v>
      </c>
      <c r="G1513">
        <f t="shared" si="29"/>
        <v>1.76</v>
      </c>
      <c r="H1513">
        <v>1.5</v>
      </c>
    </row>
    <row r="1514" spans="2:8">
      <c r="B1514" s="3">
        <v>45635</v>
      </c>
      <c r="C1514" t="s">
        <v>50</v>
      </c>
      <c r="D1514">
        <f>VLOOKUP(C1514,成本价!$C$2:$D$1000,2,0)*H1514</f>
        <v>2.749</v>
      </c>
      <c r="E1514">
        <v>11.38</v>
      </c>
      <c r="G1514">
        <f t="shared" si="29"/>
        <v>8.631</v>
      </c>
      <c r="H1514">
        <v>1</v>
      </c>
    </row>
    <row r="1515" spans="2:8">
      <c r="B1515" s="3">
        <v>45635</v>
      </c>
      <c r="C1515" t="s">
        <v>33</v>
      </c>
      <c r="D1515">
        <f>VLOOKUP(C1515,成本价!$C$2:$D$1000,2,0)*H1515</f>
        <v>1.7</v>
      </c>
      <c r="E1515">
        <v>5.92</v>
      </c>
      <c r="G1515">
        <f t="shared" si="29"/>
        <v>4.22</v>
      </c>
      <c r="H1515">
        <v>1</v>
      </c>
    </row>
    <row r="1516" spans="2:8">
      <c r="B1516" s="3">
        <v>45635</v>
      </c>
      <c r="C1516" t="s">
        <v>27</v>
      </c>
      <c r="D1516">
        <f>VLOOKUP(C1516,成本价!$C$2:$D$1000,2,0)*H1516</f>
        <v>3.6</v>
      </c>
      <c r="E1516">
        <f>4.73*2</f>
        <v>9.46</v>
      </c>
      <c r="G1516">
        <f t="shared" si="29"/>
        <v>5.86</v>
      </c>
      <c r="H1516">
        <v>2</v>
      </c>
    </row>
    <row r="1517" spans="2:8">
      <c r="B1517" s="3">
        <v>45635</v>
      </c>
      <c r="C1517" t="s">
        <v>50</v>
      </c>
      <c r="D1517">
        <f>VLOOKUP(C1517,成本价!$C$2:$D$1000,2,0)*H1517</f>
        <v>2.749</v>
      </c>
      <c r="E1517">
        <v>11.38</v>
      </c>
      <c r="G1517">
        <f t="shared" si="29"/>
        <v>8.631</v>
      </c>
      <c r="H1517">
        <v>1</v>
      </c>
    </row>
    <row r="1518" spans="2:8">
      <c r="B1518" s="3">
        <v>45635</v>
      </c>
      <c r="C1518" t="s">
        <v>55</v>
      </c>
      <c r="D1518">
        <f>VLOOKUP(C1518,成本价!$C$2:$D$1000,2,0)*H1518</f>
        <v>3.513</v>
      </c>
      <c r="E1518">
        <v>13.11</v>
      </c>
      <c r="G1518">
        <f t="shared" si="29"/>
        <v>9.597</v>
      </c>
      <c r="H1518">
        <v>3</v>
      </c>
    </row>
    <row r="1519" spans="2:8">
      <c r="B1519" s="3">
        <v>45635</v>
      </c>
      <c r="C1519" t="s">
        <v>93</v>
      </c>
      <c r="D1519">
        <f>VLOOKUP(C1519,成本价!$C$2:$D$1000,2,0)*H1519</f>
        <v>4.77</v>
      </c>
      <c r="E1519">
        <v>10.78</v>
      </c>
      <c r="G1519">
        <f t="shared" si="29"/>
        <v>6.01</v>
      </c>
      <c r="H1519">
        <v>1</v>
      </c>
    </row>
    <row r="1520" spans="2:8">
      <c r="B1520" s="3">
        <v>45635</v>
      </c>
      <c r="C1520" t="s">
        <v>60</v>
      </c>
      <c r="D1520">
        <f>VLOOKUP(C1520,成本价!$C$2:$D$1000,2,0)*H1520</f>
        <v>5.2</v>
      </c>
      <c r="E1520">
        <v>19.05</v>
      </c>
      <c r="G1520">
        <f t="shared" si="29"/>
        <v>13.85</v>
      </c>
      <c r="H1520">
        <v>1</v>
      </c>
    </row>
    <row r="1521" spans="2:8">
      <c r="B1521" s="3">
        <v>45635</v>
      </c>
      <c r="C1521" t="s">
        <v>50</v>
      </c>
      <c r="D1521">
        <f>VLOOKUP(C1521,成本价!$C$2:$D$1000,2,0)*H1521</f>
        <v>2.749</v>
      </c>
      <c r="E1521">
        <v>11.38</v>
      </c>
      <c r="G1521">
        <f t="shared" si="29"/>
        <v>8.631</v>
      </c>
      <c r="H1521">
        <v>1</v>
      </c>
    </row>
    <row r="1522" spans="2:8">
      <c r="B1522" s="3">
        <v>45635</v>
      </c>
      <c r="C1522" t="s">
        <v>61</v>
      </c>
      <c r="D1522">
        <f>VLOOKUP(C1522,成本价!$C$2:$D$1000,2,0)*H1522</f>
        <v>20.1</v>
      </c>
      <c r="E1522">
        <v>38.91</v>
      </c>
      <c r="G1522">
        <f t="shared" si="29"/>
        <v>18.81</v>
      </c>
      <c r="H1522">
        <v>1</v>
      </c>
    </row>
    <row r="1523" spans="2:10">
      <c r="B1523" s="3">
        <v>45635</v>
      </c>
      <c r="C1523" t="s">
        <v>23</v>
      </c>
      <c r="D1523">
        <f>VLOOKUP(C1523,成本价!$C$2:$D$1000,2,0)*H1523</f>
        <v>2.08</v>
      </c>
      <c r="E1523">
        <v>7.12</v>
      </c>
      <c r="G1523">
        <f t="shared" si="29"/>
        <v>5.04</v>
      </c>
      <c r="H1523">
        <v>1</v>
      </c>
      <c r="J1523" s="2" t="s">
        <v>74</v>
      </c>
    </row>
    <row r="1524" spans="2:10">
      <c r="B1524" s="3">
        <v>45635</v>
      </c>
      <c r="C1524" t="s">
        <v>111</v>
      </c>
      <c r="D1524">
        <f>VLOOKUP(C1524,成本价!$C$2:$D$1000,2,0)*H1524</f>
        <v>12.04</v>
      </c>
      <c r="E1524">
        <v>29.63</v>
      </c>
      <c r="G1524">
        <f t="shared" si="29"/>
        <v>17.59</v>
      </c>
      <c r="H1524">
        <v>1</v>
      </c>
      <c r="J1524" s="2" t="s">
        <v>74</v>
      </c>
    </row>
    <row r="1525" spans="2:10">
      <c r="B1525" s="3">
        <v>45635</v>
      </c>
      <c r="C1525" t="s">
        <v>112</v>
      </c>
      <c r="D1525">
        <f>VLOOKUP(C1525,成本价!$C$2:$D$1000,2,0)*H1525</f>
        <v>3.3</v>
      </c>
      <c r="G1525">
        <f t="shared" si="29"/>
        <v>-3.3</v>
      </c>
      <c r="H1525">
        <v>1</v>
      </c>
      <c r="J1525" s="2" t="s">
        <v>74</v>
      </c>
    </row>
    <row r="1526" spans="2:10">
      <c r="B1526" s="3">
        <v>45635</v>
      </c>
      <c r="C1526" t="s">
        <v>59</v>
      </c>
      <c r="D1526">
        <f>VLOOKUP(C1526,成本价!$C$2:$D$1000,2,0)*H1526</f>
        <v>8.7</v>
      </c>
      <c r="E1526">
        <v>23.54</v>
      </c>
      <c r="G1526">
        <f t="shared" si="29"/>
        <v>14.84</v>
      </c>
      <c r="H1526">
        <v>1</v>
      </c>
      <c r="J1526" s="2" t="s">
        <v>74</v>
      </c>
    </row>
    <row r="1527" spans="2:10">
      <c r="B1527" s="3">
        <v>45635</v>
      </c>
      <c r="C1527" t="s">
        <v>90</v>
      </c>
      <c r="D1527">
        <f>VLOOKUP(C1527,成本价!$C$2:$D$1000,2,0)*H1527</f>
        <v>2.6</v>
      </c>
      <c r="G1527">
        <f t="shared" si="29"/>
        <v>-2.6</v>
      </c>
      <c r="H1527">
        <v>1</v>
      </c>
      <c r="J1527" s="2" t="s">
        <v>74</v>
      </c>
    </row>
    <row r="1528" spans="2:10">
      <c r="B1528" s="3">
        <v>45635</v>
      </c>
      <c r="C1528" t="s">
        <v>28</v>
      </c>
      <c r="D1528">
        <f>VLOOKUP(C1528,成本价!$C$2:$D$1000,2,0)*H1528</f>
        <v>2.22</v>
      </c>
      <c r="E1528">
        <v>5.98</v>
      </c>
      <c r="G1528">
        <f t="shared" si="29"/>
        <v>3.76</v>
      </c>
      <c r="H1528">
        <v>1</v>
      </c>
      <c r="J1528" s="2" t="s">
        <v>74</v>
      </c>
    </row>
    <row r="1529" spans="2:9">
      <c r="B1529" s="3"/>
      <c r="I1529">
        <f>123.89+50.86</f>
        <v>174.75</v>
      </c>
    </row>
    <row r="1530" spans="2:8">
      <c r="B1530" s="29">
        <v>45636</v>
      </c>
      <c r="C1530" t="s">
        <v>23</v>
      </c>
      <c r="D1530">
        <f>VLOOKUP(C1530,成本价!$C$2:$D$1000,2,0)*H1530</f>
        <v>2.08</v>
      </c>
      <c r="E1530">
        <v>6.78</v>
      </c>
      <c r="F1530">
        <v>81.5</v>
      </c>
      <c r="G1530">
        <f t="shared" si="29"/>
        <v>4.7</v>
      </c>
      <c r="H1530">
        <v>1</v>
      </c>
    </row>
    <row r="1531" spans="2:8">
      <c r="B1531" s="3">
        <v>45636</v>
      </c>
      <c r="C1531" t="s">
        <v>61</v>
      </c>
      <c r="D1531">
        <f>VLOOKUP(C1531,成本价!$C$2:$D$1000,2,0)*H1531</f>
        <v>20.1</v>
      </c>
      <c r="E1531">
        <v>38.91</v>
      </c>
      <c r="G1531">
        <f t="shared" si="29"/>
        <v>18.81</v>
      </c>
      <c r="H1531">
        <v>1</v>
      </c>
    </row>
    <row r="1532" spans="2:8">
      <c r="B1532" s="3">
        <v>45636</v>
      </c>
      <c r="C1532" t="s">
        <v>55</v>
      </c>
      <c r="D1532">
        <f>VLOOKUP(C1532,成本价!$C$2:$D$1000,2,0)*H1532</f>
        <v>3.513</v>
      </c>
      <c r="E1532">
        <v>12.96</v>
      </c>
      <c r="G1532">
        <f t="shared" si="29"/>
        <v>9.447</v>
      </c>
      <c r="H1532">
        <v>3</v>
      </c>
    </row>
    <row r="1533" spans="2:8">
      <c r="B1533" s="3">
        <v>45636</v>
      </c>
      <c r="C1533" t="s">
        <v>79</v>
      </c>
      <c r="D1533">
        <f>VLOOKUP(C1533,成本价!$C$2:$D$1000,2,0)*H1533</f>
        <v>12.3</v>
      </c>
      <c r="E1533">
        <v>35.41</v>
      </c>
      <c r="G1533">
        <f t="shared" si="29"/>
        <v>23.11</v>
      </c>
      <c r="H1533">
        <v>1</v>
      </c>
    </row>
    <row r="1534" spans="2:8">
      <c r="B1534" s="3">
        <v>45636</v>
      </c>
      <c r="C1534" t="s">
        <v>90</v>
      </c>
      <c r="D1534">
        <f>VLOOKUP(C1534,成本价!$C$2:$D$1000,2,0)*H1534</f>
        <v>2.6</v>
      </c>
      <c r="G1534">
        <f t="shared" si="29"/>
        <v>-2.6</v>
      </c>
      <c r="H1534">
        <v>1</v>
      </c>
    </row>
    <row r="1535" spans="2:8">
      <c r="B1535" s="3">
        <v>45636</v>
      </c>
      <c r="C1535" t="s">
        <v>55</v>
      </c>
      <c r="D1535">
        <f>VLOOKUP(C1535,成本价!$C$2:$D$1000,2,0)*H1535</f>
        <v>1.171</v>
      </c>
      <c r="E1535">
        <v>12.96</v>
      </c>
      <c r="G1535">
        <f t="shared" si="29"/>
        <v>11.789</v>
      </c>
      <c r="H1535">
        <v>1</v>
      </c>
    </row>
    <row r="1536" spans="2:8">
      <c r="B1536" s="3">
        <v>45636</v>
      </c>
      <c r="C1536" t="s">
        <v>49</v>
      </c>
      <c r="D1536">
        <f>VLOOKUP(C1536,成本价!$C$2:$D$1000,2,0)*H1536</f>
        <v>1.975</v>
      </c>
      <c r="E1536">
        <v>10.02</v>
      </c>
      <c r="G1536">
        <f t="shared" si="29"/>
        <v>8.045</v>
      </c>
      <c r="H1536">
        <v>1</v>
      </c>
    </row>
    <row r="1537" spans="2:8">
      <c r="B1537" s="3">
        <v>45636</v>
      </c>
      <c r="C1537" t="s">
        <v>50</v>
      </c>
      <c r="D1537">
        <f>VLOOKUP(C1537,成本价!$C$2:$D$1000,2,0)*H1537</f>
        <v>2.749</v>
      </c>
      <c r="E1537">
        <v>11.25</v>
      </c>
      <c r="G1537">
        <f t="shared" si="29"/>
        <v>8.501</v>
      </c>
      <c r="H1537">
        <v>1</v>
      </c>
    </row>
    <row r="1538" spans="2:8">
      <c r="B1538" s="3">
        <v>45636</v>
      </c>
      <c r="C1538" t="s">
        <v>61</v>
      </c>
      <c r="D1538">
        <f>VLOOKUP(C1538,成本价!$C$2:$D$1000,2,0)*H1538</f>
        <v>20.1</v>
      </c>
      <c r="E1538">
        <v>38.91</v>
      </c>
      <c r="G1538">
        <f t="shared" si="29"/>
        <v>18.81</v>
      </c>
      <c r="H1538">
        <v>1</v>
      </c>
    </row>
    <row r="1539" spans="2:8">
      <c r="B1539" s="3">
        <v>45636</v>
      </c>
      <c r="C1539" t="s">
        <v>61</v>
      </c>
      <c r="D1539">
        <f>VLOOKUP(C1539,成本价!$C$2:$D$1000,2,0)*H1539</f>
        <v>20.1</v>
      </c>
      <c r="E1539">
        <v>38.91</v>
      </c>
      <c r="G1539">
        <f t="shared" si="29"/>
        <v>18.81</v>
      </c>
      <c r="H1539">
        <v>1</v>
      </c>
    </row>
    <row r="1540" spans="2:8">
      <c r="B1540" s="3">
        <v>45636</v>
      </c>
      <c r="C1540" t="s">
        <v>43</v>
      </c>
      <c r="D1540">
        <f>VLOOKUP(C1540,成本价!$C$2:$D$1000,2,0)*H1540</f>
        <v>3.03</v>
      </c>
      <c r="E1540">
        <v>5.15</v>
      </c>
      <c r="G1540">
        <f t="shared" si="29"/>
        <v>2.12</v>
      </c>
      <c r="H1540">
        <v>1.5</v>
      </c>
    </row>
    <row r="1541" spans="2:8">
      <c r="B1541" s="3">
        <v>45636</v>
      </c>
      <c r="C1541" t="s">
        <v>76</v>
      </c>
      <c r="D1541">
        <f>VLOOKUP(C1541,成本价!$C$2:$D$1000,2,0)*H1541</f>
        <v>1.7856</v>
      </c>
      <c r="E1541">
        <v>11.74</v>
      </c>
      <c r="G1541">
        <f t="shared" si="29"/>
        <v>9.9544</v>
      </c>
      <c r="H1541">
        <v>1</v>
      </c>
    </row>
    <row r="1542" spans="2:8">
      <c r="B1542" s="3">
        <v>45636</v>
      </c>
      <c r="C1542" t="s">
        <v>37</v>
      </c>
      <c r="D1542">
        <f>VLOOKUP(C1542,成本价!$C$2:$D$1000,2,0)*H1542</f>
        <v>3.81</v>
      </c>
      <c r="E1542">
        <v>5.15</v>
      </c>
      <c r="G1542">
        <f t="shared" si="29"/>
        <v>1.34</v>
      </c>
      <c r="H1542">
        <v>1.5</v>
      </c>
    </row>
    <row r="1543" spans="2:8">
      <c r="B1543" s="3">
        <v>45636</v>
      </c>
      <c r="C1543" t="s">
        <v>105</v>
      </c>
      <c r="D1543">
        <f>VLOOKUP(C1543,成本价!$C$2:$D$1000,2,0)*H1543</f>
        <v>7.4</v>
      </c>
      <c r="E1543">
        <v>19.75</v>
      </c>
      <c r="G1543">
        <f t="shared" si="29"/>
        <v>12.35</v>
      </c>
      <c r="H1543">
        <v>1</v>
      </c>
    </row>
    <row r="1544" spans="2:10">
      <c r="B1544" s="3">
        <v>45636</v>
      </c>
      <c r="C1544" t="s">
        <v>58</v>
      </c>
      <c r="D1544">
        <f>VLOOKUP(C1544,成本价!$C$2:$D$1000,2,0)*H1544</f>
        <v>8.4</v>
      </c>
      <c r="E1544">
        <v>19.7</v>
      </c>
      <c r="G1544">
        <f t="shared" si="29"/>
        <v>11.3</v>
      </c>
      <c r="H1544">
        <v>1</v>
      </c>
      <c r="J1544" s="2" t="s">
        <v>74</v>
      </c>
    </row>
    <row r="1545" spans="2:9">
      <c r="B1545" s="3"/>
      <c r="I1545">
        <f>80.8+11.21</f>
        <v>92.01</v>
      </c>
    </row>
    <row r="1546" spans="2:8">
      <c r="B1546" s="29">
        <v>45637</v>
      </c>
      <c r="C1546" t="s">
        <v>87</v>
      </c>
      <c r="D1546">
        <f>VLOOKUP(C1546,成本价!$C$2:$D$1000,2,0)*H1546</f>
        <v>1.1475</v>
      </c>
      <c r="E1546">
        <f>7.23+7.23+13.17+13.9</f>
        <v>41.53</v>
      </c>
      <c r="F1546">
        <v>84</v>
      </c>
      <c r="G1546">
        <f t="shared" si="29"/>
        <v>40.3825</v>
      </c>
      <c r="H1546">
        <f>1+8</f>
        <v>9</v>
      </c>
    </row>
    <row r="1547" spans="2:8">
      <c r="B1547" s="3">
        <v>45637</v>
      </c>
      <c r="C1547" t="s">
        <v>88</v>
      </c>
      <c r="D1547">
        <f>VLOOKUP(C1547,成本价!$C$2:$D$1000,2,0)*H1547</f>
        <v>3.105</v>
      </c>
      <c r="G1547">
        <f t="shared" si="29"/>
        <v>-3.105</v>
      </c>
      <c r="H1547">
        <f>2+9+12</f>
        <v>23</v>
      </c>
    </row>
    <row r="1548" spans="2:8">
      <c r="B1548" s="3">
        <v>45637</v>
      </c>
      <c r="C1548" t="s">
        <v>109</v>
      </c>
      <c r="D1548">
        <f>VLOOKUP(C1548,成本价!$C$2:$D$1000,2,0)*H1548</f>
        <v>1.845</v>
      </c>
      <c r="G1548">
        <f t="shared" si="29"/>
        <v>-1.845</v>
      </c>
      <c r="H1548">
        <v>2</v>
      </c>
    </row>
    <row r="1549" spans="2:8">
      <c r="B1549" s="3">
        <v>45637</v>
      </c>
      <c r="C1549" t="s">
        <v>102</v>
      </c>
      <c r="D1549">
        <f>VLOOKUP(C1549,成本价!$C$2:$D$1000,2,0)*H1549</f>
        <v>7.5</v>
      </c>
      <c r="E1549">
        <v>18.3</v>
      </c>
      <c r="G1549">
        <f t="shared" si="29"/>
        <v>10.8</v>
      </c>
      <c r="H1549">
        <v>1</v>
      </c>
    </row>
    <row r="1550" spans="2:8">
      <c r="B1550" s="3">
        <v>45637</v>
      </c>
      <c r="C1550" t="s">
        <v>95</v>
      </c>
      <c r="D1550">
        <f>VLOOKUP(C1550,成本价!$C$2:$D$1000,2,0)*H1550</f>
        <v>2.4</v>
      </c>
      <c r="E1550">
        <v>8.07</v>
      </c>
      <c r="G1550">
        <f t="shared" si="29"/>
        <v>5.67</v>
      </c>
      <c r="H1550">
        <v>1</v>
      </c>
    </row>
    <row r="1551" spans="2:8">
      <c r="B1551" s="3">
        <v>45637</v>
      </c>
      <c r="C1551" t="s">
        <v>12</v>
      </c>
      <c r="D1551">
        <f>VLOOKUP(C1551,成本价!$C$2:$D$1000,2,0)*H1551</f>
        <v>1.548</v>
      </c>
      <c r="E1551">
        <v>16.79</v>
      </c>
      <c r="G1551">
        <f t="shared" si="29"/>
        <v>15.242</v>
      </c>
      <c r="H1551">
        <v>4</v>
      </c>
    </row>
    <row r="1552" spans="2:8">
      <c r="B1552" s="3">
        <v>45637</v>
      </c>
      <c r="C1552" t="s">
        <v>44</v>
      </c>
      <c r="D1552">
        <f>VLOOKUP(C1552,成本价!$C$2:$D$1000,2,0)*H1552</f>
        <v>2.382</v>
      </c>
      <c r="G1552">
        <f t="shared" si="29"/>
        <v>-2.382</v>
      </c>
      <c r="H1552">
        <v>6</v>
      </c>
    </row>
    <row r="1553" spans="2:8">
      <c r="B1553" s="3">
        <v>45637</v>
      </c>
      <c r="C1553" t="s">
        <v>43</v>
      </c>
      <c r="D1553">
        <f>VLOOKUP(C1553,成本价!$C$2:$D$1000,2,0)*H1553</f>
        <v>2.02</v>
      </c>
      <c r="E1553">
        <v>7.54</v>
      </c>
      <c r="G1553">
        <f t="shared" si="29"/>
        <v>5.52</v>
      </c>
      <c r="H1553">
        <v>1</v>
      </c>
    </row>
    <row r="1554" spans="2:8">
      <c r="B1554" s="3">
        <v>45637</v>
      </c>
      <c r="C1554" t="s">
        <v>36</v>
      </c>
      <c r="D1554">
        <f>VLOOKUP(C1554,成本价!$C$2:$D$1000,2,0)*H1554</f>
        <v>2.32</v>
      </c>
      <c r="E1554">
        <v>8.31</v>
      </c>
      <c r="G1554">
        <f t="shared" si="29"/>
        <v>5.99</v>
      </c>
      <c r="H1554">
        <v>1</v>
      </c>
    </row>
    <row r="1555" spans="2:8">
      <c r="B1555" s="3">
        <v>45637</v>
      </c>
      <c r="C1555" t="s">
        <v>76</v>
      </c>
      <c r="D1555">
        <f>VLOOKUP(C1555,成本价!$C$2:$D$1000,2,0)*H1555</f>
        <v>1.7856</v>
      </c>
      <c r="E1555">
        <v>11.74</v>
      </c>
      <c r="G1555">
        <f t="shared" si="29"/>
        <v>9.9544</v>
      </c>
      <c r="H1555">
        <v>1</v>
      </c>
    </row>
    <row r="1556" spans="2:8">
      <c r="B1556" s="3">
        <v>45637</v>
      </c>
      <c r="C1556" t="s">
        <v>50</v>
      </c>
      <c r="D1556">
        <f>VLOOKUP(C1556,成本价!$C$2:$D$1000,2,0)*H1556</f>
        <v>2.749</v>
      </c>
      <c r="E1556">
        <v>11.9</v>
      </c>
      <c r="G1556">
        <f t="shared" si="29"/>
        <v>9.151</v>
      </c>
      <c r="H1556">
        <v>1</v>
      </c>
    </row>
    <row r="1557" spans="2:8">
      <c r="B1557" s="3">
        <v>45637</v>
      </c>
      <c r="C1557" t="s">
        <v>16</v>
      </c>
      <c r="D1557">
        <f>VLOOKUP(C1557,成本价!$C$2:$D$1000,2,0)*H1557</f>
        <v>8.1</v>
      </c>
      <c r="E1557">
        <v>29.47</v>
      </c>
      <c r="G1557">
        <f t="shared" si="29"/>
        <v>21.37</v>
      </c>
      <c r="H1557">
        <v>3</v>
      </c>
    </row>
    <row r="1558" spans="2:8">
      <c r="B1558" s="3">
        <v>45637</v>
      </c>
      <c r="C1558" t="s">
        <v>20</v>
      </c>
      <c r="D1558">
        <f>VLOOKUP(C1558,成本价!$C$2:$D$1000,2,0)*H1558</f>
        <v>6</v>
      </c>
      <c r="G1558">
        <f t="shared" si="29"/>
        <v>-6</v>
      </c>
      <c r="H1558">
        <v>2</v>
      </c>
    </row>
    <row r="1559" spans="2:8">
      <c r="B1559" s="3">
        <v>45637</v>
      </c>
      <c r="C1559" t="s">
        <v>51</v>
      </c>
      <c r="D1559">
        <f>VLOOKUP(C1559,成本价!$C$2:$D$1000,2,0)*H1559</f>
        <v>9</v>
      </c>
      <c r="E1559">
        <v>19.24</v>
      </c>
      <c r="G1559">
        <f t="shared" si="29"/>
        <v>10.24</v>
      </c>
      <c r="H1559">
        <v>1</v>
      </c>
    </row>
    <row r="1560" spans="2:8">
      <c r="B1560" s="3">
        <v>45637</v>
      </c>
      <c r="C1560" t="s">
        <v>77</v>
      </c>
      <c r="D1560">
        <f>VLOOKUP(C1560,成本价!$C$2:$D$1000,2,0)*H1560</f>
        <v>0.4032</v>
      </c>
      <c r="E1560">
        <v>5.57</v>
      </c>
      <c r="G1560">
        <f t="shared" si="29"/>
        <v>5.1668</v>
      </c>
      <c r="H1560">
        <v>1</v>
      </c>
    </row>
    <row r="1561" spans="2:8">
      <c r="B1561" s="3">
        <v>45637</v>
      </c>
      <c r="C1561" t="s">
        <v>45</v>
      </c>
      <c r="D1561">
        <f>VLOOKUP(C1561,成本价!$C$2:$D$1000,2,0)*H1561</f>
        <v>4.8</v>
      </c>
      <c r="E1561">
        <v>18.4</v>
      </c>
      <c r="G1561">
        <f t="shared" si="29"/>
        <v>13.6</v>
      </c>
      <c r="H1561">
        <v>2</v>
      </c>
    </row>
    <row r="1562" spans="2:8">
      <c r="B1562" s="3">
        <v>45637</v>
      </c>
      <c r="C1562" t="s">
        <v>46</v>
      </c>
      <c r="D1562">
        <f>VLOOKUP(C1562,成本价!$C$2:$D$1000,2,0)*H1562</f>
        <v>2.7</v>
      </c>
      <c r="G1562">
        <f t="shared" si="29"/>
        <v>-2.7</v>
      </c>
      <c r="H1562">
        <v>1</v>
      </c>
    </row>
    <row r="1563" spans="2:8">
      <c r="B1563" s="3">
        <v>45637</v>
      </c>
      <c r="C1563" t="s">
        <v>36</v>
      </c>
      <c r="D1563">
        <f>VLOOKUP(C1563,成本价!$C$2:$D$1000,2,0)*H1563</f>
        <v>3.48</v>
      </c>
      <c r="E1563">
        <v>5.15</v>
      </c>
      <c r="G1563">
        <f t="shared" si="29"/>
        <v>1.67</v>
      </c>
      <c r="H1563">
        <v>1.5</v>
      </c>
    </row>
    <row r="1564" spans="2:8">
      <c r="B1564" s="3">
        <v>45637</v>
      </c>
      <c r="C1564" t="s">
        <v>43</v>
      </c>
      <c r="D1564">
        <f>VLOOKUP(C1564,成本价!$C$2:$D$1000,2,0)*H1564</f>
        <v>3.03</v>
      </c>
      <c r="E1564">
        <v>5.15</v>
      </c>
      <c r="G1564">
        <f t="shared" si="29"/>
        <v>2.12</v>
      </c>
      <c r="H1564">
        <v>1.5</v>
      </c>
    </row>
    <row r="1565" spans="2:8">
      <c r="B1565" s="3">
        <v>45637</v>
      </c>
      <c r="C1565" t="s">
        <v>76</v>
      </c>
      <c r="D1565">
        <f>VLOOKUP(C1565,成本价!$C$2:$D$1000,2,0)*H1565</f>
        <v>1.7856</v>
      </c>
      <c r="E1565">
        <v>11.68</v>
      </c>
      <c r="G1565">
        <f t="shared" si="29"/>
        <v>9.8944</v>
      </c>
      <c r="H1565">
        <v>1</v>
      </c>
    </row>
    <row r="1566" spans="2:8">
      <c r="B1566" s="3">
        <v>45637</v>
      </c>
      <c r="C1566" t="s">
        <v>49</v>
      </c>
      <c r="D1566">
        <f>VLOOKUP(C1566,成本价!$C$2:$D$1000,2,0)*H1566</f>
        <v>1.975</v>
      </c>
      <c r="E1566">
        <v>10.25</v>
      </c>
      <c r="G1566">
        <f t="shared" si="29"/>
        <v>8.275</v>
      </c>
      <c r="H1566">
        <v>1</v>
      </c>
    </row>
    <row r="1567" spans="2:8">
      <c r="B1567" s="3">
        <v>45637</v>
      </c>
      <c r="C1567" t="s">
        <v>33</v>
      </c>
      <c r="D1567">
        <f>VLOOKUP(C1567,成本价!$C$2:$D$1000,2,0)*H1567</f>
        <v>3.4</v>
      </c>
      <c r="E1567">
        <f>4.46+5.59</f>
        <v>10.05</v>
      </c>
      <c r="G1567">
        <f t="shared" ref="G1567:G1611" si="30">E1567-D1567</f>
        <v>6.65</v>
      </c>
      <c r="H1567">
        <v>2</v>
      </c>
    </row>
    <row r="1568" spans="2:8">
      <c r="B1568" s="3">
        <v>45637</v>
      </c>
      <c r="C1568" t="s">
        <v>27</v>
      </c>
      <c r="D1568">
        <f>VLOOKUP(C1568,成本价!$C$2:$D$1000,2,0)*H1568</f>
        <v>3.6</v>
      </c>
      <c r="E1568">
        <f>4.47+4.47</f>
        <v>8.94</v>
      </c>
      <c r="G1568">
        <f t="shared" si="30"/>
        <v>5.34</v>
      </c>
      <c r="H1568">
        <v>2</v>
      </c>
    </row>
    <row r="1569" spans="2:8">
      <c r="B1569" s="3">
        <v>45637</v>
      </c>
      <c r="C1569" t="s">
        <v>23</v>
      </c>
      <c r="D1569">
        <f>VLOOKUP(C1569,成本价!$C$2:$D$1000,2,0)*H1569</f>
        <v>2.08</v>
      </c>
      <c r="E1569">
        <v>6.09</v>
      </c>
      <c r="G1569">
        <f t="shared" si="30"/>
        <v>4.01</v>
      </c>
      <c r="H1569">
        <v>1</v>
      </c>
    </row>
    <row r="1570" spans="2:8">
      <c r="B1570" s="3">
        <v>45637</v>
      </c>
      <c r="C1570" t="s">
        <v>80</v>
      </c>
      <c r="D1570">
        <f>VLOOKUP(C1570,成本价!$C$2:$D$1000,2,0)*H1570</f>
        <v>8.1</v>
      </c>
      <c r="E1570">
        <v>19.24</v>
      </c>
      <c r="G1570">
        <f t="shared" si="30"/>
        <v>11.14</v>
      </c>
      <c r="H1570">
        <v>1</v>
      </c>
    </row>
    <row r="1571" spans="2:8">
      <c r="B1571" s="3">
        <v>45637</v>
      </c>
      <c r="C1571" t="s">
        <v>50</v>
      </c>
      <c r="D1571">
        <f>VLOOKUP(C1571,成本价!$C$2:$D$1000,2,0)*H1571</f>
        <v>2.749</v>
      </c>
      <c r="E1571">
        <v>11.51</v>
      </c>
      <c r="G1571">
        <f t="shared" si="30"/>
        <v>8.761</v>
      </c>
      <c r="H1571">
        <v>1</v>
      </c>
    </row>
    <row r="1572" spans="2:8">
      <c r="B1572" s="3">
        <v>45637</v>
      </c>
      <c r="C1572" t="s">
        <v>12</v>
      </c>
      <c r="D1572">
        <f>VLOOKUP(C1572,成本价!$C$2:$D$1000,2,0)*H1572</f>
        <v>1.161</v>
      </c>
      <c r="E1572">
        <v>10.06</v>
      </c>
      <c r="G1572">
        <f t="shared" si="30"/>
        <v>8.899</v>
      </c>
      <c r="H1572">
        <v>3</v>
      </c>
    </row>
    <row r="1573" spans="2:8">
      <c r="B1573" s="3">
        <v>45637</v>
      </c>
      <c r="C1573" t="s">
        <v>44</v>
      </c>
      <c r="D1573">
        <f>VLOOKUP(C1573,成本价!$C$2:$D$1000,2,0)*H1573</f>
        <v>1.588</v>
      </c>
      <c r="G1573">
        <f t="shared" si="30"/>
        <v>-1.588</v>
      </c>
      <c r="H1573">
        <v>4</v>
      </c>
    </row>
    <row r="1574" spans="2:8">
      <c r="B1574" s="3">
        <v>45637</v>
      </c>
      <c r="C1574" t="s">
        <v>40</v>
      </c>
      <c r="D1574">
        <f>VLOOKUP(C1574,成本价!$C$2:$D$1000,2,0)*H1574</f>
        <v>1.88</v>
      </c>
      <c r="E1574">
        <v>7.45</v>
      </c>
      <c r="G1574">
        <f t="shared" si="30"/>
        <v>5.57</v>
      </c>
      <c r="H1574">
        <v>1</v>
      </c>
    </row>
    <row r="1575" spans="2:8">
      <c r="B1575" s="3">
        <v>45637</v>
      </c>
      <c r="C1575" t="s">
        <v>77</v>
      </c>
      <c r="D1575">
        <f>VLOOKUP(C1575,成本价!$C$2:$D$1000,2,0)*H1575</f>
        <v>0.4032</v>
      </c>
      <c r="E1575">
        <v>5.57</v>
      </c>
      <c r="G1575">
        <f t="shared" si="30"/>
        <v>5.1668</v>
      </c>
      <c r="H1575">
        <v>1</v>
      </c>
    </row>
    <row r="1576" spans="2:10">
      <c r="B1576" s="3">
        <v>45637</v>
      </c>
      <c r="C1576" t="s">
        <v>33</v>
      </c>
      <c r="D1576">
        <f>VLOOKUP(C1576,成本价!$C$2:$D$1000,2,0)*H1576</f>
        <v>5.1</v>
      </c>
      <c r="E1576">
        <v>23.27</v>
      </c>
      <c r="G1576">
        <f t="shared" si="30"/>
        <v>18.17</v>
      </c>
      <c r="H1576">
        <v>3</v>
      </c>
      <c r="J1576" s="2" t="s">
        <v>74</v>
      </c>
    </row>
    <row r="1577" spans="2:10">
      <c r="B1577" s="3">
        <v>45637</v>
      </c>
      <c r="C1577" t="s">
        <v>27</v>
      </c>
      <c r="D1577">
        <f>VLOOKUP(C1577,成本价!$C$2:$D$1000,2,0)*H1577</f>
        <v>5.4</v>
      </c>
      <c r="G1577">
        <f t="shared" si="30"/>
        <v>-5.4</v>
      </c>
      <c r="H1577">
        <v>3</v>
      </c>
      <c r="J1577" s="2" t="s">
        <v>74</v>
      </c>
    </row>
    <row r="1578" spans="2:10">
      <c r="B1578" s="3">
        <v>45637</v>
      </c>
      <c r="C1578" t="s">
        <v>90</v>
      </c>
      <c r="D1578">
        <f>VLOOKUP(C1578,成本价!$C$2:$D$1000,2,0)*H1578</f>
        <v>5.2</v>
      </c>
      <c r="G1578">
        <f t="shared" si="30"/>
        <v>-5.2</v>
      </c>
      <c r="H1578">
        <v>2</v>
      </c>
      <c r="J1578" s="2" t="s">
        <v>74</v>
      </c>
    </row>
    <row r="1579" spans="2:10">
      <c r="B1579" s="3">
        <v>45637</v>
      </c>
      <c r="C1579" t="s">
        <v>57</v>
      </c>
      <c r="D1579">
        <f>VLOOKUP(C1579,成本价!$C$2:$D$1000,2,0)*H1579</f>
        <v>8.9</v>
      </c>
      <c r="E1579">
        <v>31.53</v>
      </c>
      <c r="G1579">
        <f t="shared" si="30"/>
        <v>22.63</v>
      </c>
      <c r="H1579">
        <v>1</v>
      </c>
      <c r="J1579" s="2" t="s">
        <v>74</v>
      </c>
    </row>
    <row r="1580" spans="2:10">
      <c r="B1580" s="3">
        <v>45637</v>
      </c>
      <c r="C1580" t="s">
        <v>94</v>
      </c>
      <c r="D1580">
        <f>VLOOKUP(C1580,成本价!$C$2:$D$1000,2,0)*H1580</f>
        <v>3.9</v>
      </c>
      <c r="G1580">
        <f t="shared" si="30"/>
        <v>-3.9</v>
      </c>
      <c r="H1580">
        <v>1</v>
      </c>
      <c r="J1580" s="2" t="s">
        <v>74</v>
      </c>
    </row>
    <row r="1581" spans="2:10">
      <c r="B1581" s="3">
        <v>45637</v>
      </c>
      <c r="C1581" t="s">
        <v>68</v>
      </c>
      <c r="D1581">
        <f>VLOOKUP(C1581,成本价!$C$2:$D$1000,2,0)*H1581</f>
        <v>18</v>
      </c>
      <c r="E1581">
        <v>24.35</v>
      </c>
      <c r="G1581">
        <f t="shared" si="30"/>
        <v>6.35</v>
      </c>
      <c r="H1581">
        <v>1</v>
      </c>
      <c r="J1581" s="2" t="s">
        <v>74</v>
      </c>
    </row>
    <row r="1582" spans="2:10">
      <c r="B1582" s="3">
        <v>45637</v>
      </c>
      <c r="C1582" t="s">
        <v>33</v>
      </c>
      <c r="D1582">
        <f>VLOOKUP(C1582,成本价!$C$2:$D$1000,2,0)*H1582</f>
        <v>1.7</v>
      </c>
      <c r="E1582">
        <v>60.05</v>
      </c>
      <c r="G1582">
        <f t="shared" si="30"/>
        <v>58.35</v>
      </c>
      <c r="H1582">
        <v>1</v>
      </c>
      <c r="J1582" s="2" t="s">
        <v>74</v>
      </c>
    </row>
    <row r="1583" spans="2:10">
      <c r="B1583" s="3">
        <v>45637</v>
      </c>
      <c r="C1583" t="s">
        <v>37</v>
      </c>
      <c r="D1583">
        <f>VLOOKUP(C1583,成本价!$C$2:$D$1000,2,0)*H1583</f>
        <v>5.08</v>
      </c>
      <c r="E1583">
        <v>16.11</v>
      </c>
      <c r="G1583">
        <f t="shared" si="30"/>
        <v>11.03</v>
      </c>
      <c r="H1583">
        <v>2</v>
      </c>
      <c r="J1583" s="2" t="s">
        <v>74</v>
      </c>
    </row>
    <row r="1584" spans="9:9">
      <c r="I1584">
        <f>101.41+3.86</f>
        <v>105.27</v>
      </c>
    </row>
    <row r="1585" spans="2:8">
      <c r="B1585" s="29">
        <v>45638</v>
      </c>
      <c r="C1585" t="s">
        <v>23</v>
      </c>
      <c r="D1585">
        <f>VLOOKUP(C1585,成本价!$C$2:$D$1000,2,0)*H1585</f>
        <v>2.08</v>
      </c>
      <c r="E1585">
        <v>7.43</v>
      </c>
      <c r="F1585">
        <v>87.5</v>
      </c>
      <c r="G1585">
        <f t="shared" si="30"/>
        <v>5.35</v>
      </c>
      <c r="H1585">
        <v>1</v>
      </c>
    </row>
    <row r="1586" spans="2:8">
      <c r="B1586" s="3">
        <v>45638</v>
      </c>
      <c r="C1586" t="s">
        <v>50</v>
      </c>
      <c r="D1586">
        <f>VLOOKUP(C1586,成本价!$C$2:$D$1000,2,0)*H1586</f>
        <v>2.749</v>
      </c>
      <c r="E1586">
        <v>11.6</v>
      </c>
      <c r="G1586">
        <f t="shared" si="30"/>
        <v>8.851</v>
      </c>
      <c r="H1586">
        <v>1</v>
      </c>
    </row>
    <row r="1587" spans="2:8">
      <c r="B1587" s="3">
        <v>45638</v>
      </c>
      <c r="C1587" t="s">
        <v>109</v>
      </c>
      <c r="D1587">
        <f>VLOOKUP(C1587,成本价!$C$2:$D$1000,2,0)*H1587</f>
        <v>0.9225</v>
      </c>
      <c r="E1587">
        <f>6.82</f>
        <v>6.82</v>
      </c>
      <c r="G1587">
        <f t="shared" si="30"/>
        <v>5.8975</v>
      </c>
      <c r="H1587">
        <v>1</v>
      </c>
    </row>
    <row r="1588" spans="2:8">
      <c r="B1588" s="3">
        <v>45638</v>
      </c>
      <c r="C1588" t="s">
        <v>87</v>
      </c>
      <c r="D1588">
        <f>VLOOKUP(C1588,成本价!$C$2:$D$1000,2,0)*H1588</f>
        <v>6.885</v>
      </c>
      <c r="E1588">
        <f>7.23+7.01+13.9+7.23+13.9+7.23+13.9</f>
        <v>70.4</v>
      </c>
      <c r="G1588">
        <f t="shared" si="30"/>
        <v>63.515</v>
      </c>
      <c r="H1588">
        <f>6+3+2+10+5+6+8+6+8</f>
        <v>54</v>
      </c>
    </row>
    <row r="1589" spans="2:8">
      <c r="B1589" s="3">
        <v>45638</v>
      </c>
      <c r="C1589" t="s">
        <v>88</v>
      </c>
      <c r="D1589">
        <f>VLOOKUP(C1589,成本价!$C$2:$D$1000,2,0)*H1589</f>
        <v>9.315</v>
      </c>
      <c r="E1589">
        <f>5.82+7.23+7.23</f>
        <v>20.28</v>
      </c>
      <c r="G1589">
        <f t="shared" si="30"/>
        <v>10.965</v>
      </c>
      <c r="H1589">
        <f>9+3+4+5+3+9+12+3+9+12</f>
        <v>69</v>
      </c>
    </row>
    <row r="1590" spans="2:8">
      <c r="B1590" s="3">
        <v>45638</v>
      </c>
      <c r="C1590" t="s">
        <v>55</v>
      </c>
      <c r="D1590">
        <f>VLOOKUP(C1590,成本价!$C$2:$D$1000,2,0)*H1590</f>
        <v>3.513</v>
      </c>
      <c r="E1590">
        <v>13.25</v>
      </c>
      <c r="G1590">
        <f t="shared" si="30"/>
        <v>9.737</v>
      </c>
      <c r="H1590">
        <v>3</v>
      </c>
    </row>
    <row r="1591" spans="2:8">
      <c r="B1591" s="3">
        <v>45638</v>
      </c>
      <c r="C1591" t="s">
        <v>12</v>
      </c>
      <c r="D1591">
        <f>VLOOKUP(C1591,成本价!$C$2:$D$1000,2,0)*H1591</f>
        <v>0.774</v>
      </c>
      <c r="E1591">
        <v>11.77</v>
      </c>
      <c r="G1591">
        <f t="shared" si="30"/>
        <v>10.996</v>
      </c>
      <c r="H1591">
        <v>2</v>
      </c>
    </row>
    <row r="1592" spans="2:8">
      <c r="B1592" s="3">
        <v>45638</v>
      </c>
      <c r="C1592" t="s">
        <v>44</v>
      </c>
      <c r="D1592">
        <f>VLOOKUP(C1592,成本价!$C$2:$D$1000,2,0)*H1592</f>
        <v>1.985</v>
      </c>
      <c r="G1592">
        <f t="shared" si="30"/>
        <v>-1.985</v>
      </c>
      <c r="H1592">
        <v>5</v>
      </c>
    </row>
    <row r="1593" spans="2:8">
      <c r="B1593" s="3">
        <v>45638</v>
      </c>
      <c r="C1593" t="s">
        <v>20</v>
      </c>
      <c r="D1593">
        <f>VLOOKUP(C1593,成本价!$C$2:$D$1000,2,0)*H1593</f>
        <v>9</v>
      </c>
      <c r="E1593">
        <v>20.34</v>
      </c>
      <c r="G1593">
        <f t="shared" si="30"/>
        <v>11.34</v>
      </c>
      <c r="H1593">
        <v>3</v>
      </c>
    </row>
    <row r="1594" spans="2:8">
      <c r="B1594" s="3">
        <v>45638</v>
      </c>
      <c r="C1594" t="s">
        <v>50</v>
      </c>
      <c r="D1594">
        <f>VLOOKUP(C1594,成本价!$C$2:$D$1000,2,0)*H1594</f>
        <v>2.749</v>
      </c>
      <c r="E1594">
        <v>11.51</v>
      </c>
      <c r="G1594">
        <f t="shared" si="30"/>
        <v>8.761</v>
      </c>
      <c r="H1594">
        <v>1</v>
      </c>
    </row>
    <row r="1595" spans="2:8">
      <c r="B1595" s="3">
        <v>45638</v>
      </c>
      <c r="C1595" t="s">
        <v>79</v>
      </c>
      <c r="D1595">
        <f>VLOOKUP(C1595,成本价!$C$2:$D$1000,2,0)*H1595</f>
        <v>12.3</v>
      </c>
      <c r="E1595">
        <v>33.97</v>
      </c>
      <c r="G1595">
        <f t="shared" si="30"/>
        <v>21.67</v>
      </c>
      <c r="H1595">
        <v>1</v>
      </c>
    </row>
    <row r="1596" spans="2:8">
      <c r="B1596" s="3">
        <v>45638</v>
      </c>
      <c r="C1596" t="s">
        <v>90</v>
      </c>
      <c r="D1596">
        <f>VLOOKUP(C1596,成本价!$C$2:$D$1000,2,0)*H1596</f>
        <v>5.2</v>
      </c>
      <c r="G1596">
        <f t="shared" si="30"/>
        <v>-5.2</v>
      </c>
      <c r="H1596">
        <v>2</v>
      </c>
    </row>
    <row r="1597" spans="2:8">
      <c r="B1597" s="3">
        <v>45638</v>
      </c>
      <c r="C1597" t="s">
        <v>59</v>
      </c>
      <c r="D1597">
        <f>VLOOKUP(C1597,成本价!$C$2:$D$1000,2,0)*H1597</f>
        <v>8.7</v>
      </c>
      <c r="G1597">
        <f t="shared" si="30"/>
        <v>-8.7</v>
      </c>
      <c r="H1597">
        <v>1</v>
      </c>
    </row>
    <row r="1598" spans="2:8">
      <c r="B1598" s="3">
        <v>45638</v>
      </c>
      <c r="C1598" t="s">
        <v>77</v>
      </c>
      <c r="D1598">
        <f>VLOOKUP(C1598,成本价!$C$2:$D$1000,2,0)*H1598</f>
        <v>0.4032</v>
      </c>
      <c r="E1598">
        <v>5.57</v>
      </c>
      <c r="G1598">
        <f t="shared" si="30"/>
        <v>5.1668</v>
      </c>
      <c r="H1598">
        <v>1</v>
      </c>
    </row>
    <row r="1599" spans="2:8">
      <c r="B1599" s="3">
        <v>45638</v>
      </c>
      <c r="C1599" t="s">
        <v>85</v>
      </c>
      <c r="D1599">
        <f>VLOOKUP(C1599,成本价!$C$2:$D$1000,2,0)*H1599</f>
        <v>2.1312</v>
      </c>
      <c r="E1599">
        <v>13.87</v>
      </c>
      <c r="G1599">
        <f t="shared" si="30"/>
        <v>11.7388</v>
      </c>
      <c r="H1599">
        <v>1</v>
      </c>
    </row>
    <row r="1600" spans="2:8">
      <c r="B1600" s="3">
        <v>45638</v>
      </c>
      <c r="C1600" t="s">
        <v>55</v>
      </c>
      <c r="D1600">
        <f>VLOOKUP(C1600,成本价!$C$2:$D$1000,2,0)*H1600</f>
        <v>3.513</v>
      </c>
      <c r="E1600">
        <v>13.25</v>
      </c>
      <c r="G1600">
        <f t="shared" si="30"/>
        <v>9.737</v>
      </c>
      <c r="H1600">
        <v>3</v>
      </c>
    </row>
    <row r="1601" spans="2:8">
      <c r="B1601" s="3">
        <v>45638</v>
      </c>
      <c r="C1601" t="s">
        <v>27</v>
      </c>
      <c r="D1601">
        <f>VLOOKUP(C1601,成本价!$C$2:$D$1000,2,0)*H1601</f>
        <v>2.7</v>
      </c>
      <c r="E1601">
        <v>7.15</v>
      </c>
      <c r="G1601">
        <f t="shared" si="30"/>
        <v>4.45</v>
      </c>
      <c r="H1601">
        <v>1.5</v>
      </c>
    </row>
    <row r="1602" spans="2:8">
      <c r="B1602" s="3">
        <v>45638</v>
      </c>
      <c r="C1602" t="s">
        <v>77</v>
      </c>
      <c r="D1602">
        <f>VLOOKUP(C1602,成本价!$C$2:$D$1000,2,0)*H1602</f>
        <v>0.8064</v>
      </c>
      <c r="E1602">
        <v>11.19</v>
      </c>
      <c r="G1602">
        <f t="shared" si="30"/>
        <v>10.3836</v>
      </c>
      <c r="H1602">
        <v>2</v>
      </c>
    </row>
    <row r="1603" spans="2:8">
      <c r="B1603" s="3">
        <v>45638</v>
      </c>
      <c r="C1603" t="s">
        <v>27</v>
      </c>
      <c r="D1603">
        <f>VLOOKUP(C1603,成本价!$C$2:$D$1000,2,0)*H1603</f>
        <v>1.8</v>
      </c>
      <c r="E1603">
        <v>4.25</v>
      </c>
      <c r="G1603">
        <f t="shared" si="30"/>
        <v>2.45</v>
      </c>
      <c r="H1603">
        <v>1</v>
      </c>
    </row>
    <row r="1604" spans="2:8">
      <c r="B1604" s="3">
        <v>45638</v>
      </c>
      <c r="C1604" t="s">
        <v>56</v>
      </c>
      <c r="D1604">
        <f>VLOOKUP(C1604,成本价!$C$2:$D$1000,2,0)*H1604</f>
        <v>3.483</v>
      </c>
      <c r="E1604">
        <v>11.55</v>
      </c>
      <c r="G1604">
        <f t="shared" si="30"/>
        <v>8.067</v>
      </c>
      <c r="H1604">
        <v>3</v>
      </c>
    </row>
    <row r="1605" spans="2:8">
      <c r="B1605" s="3">
        <v>45638</v>
      </c>
      <c r="C1605" t="s">
        <v>71</v>
      </c>
      <c r="D1605">
        <f>VLOOKUP(C1605,成本价!$C$2:$D$1000,2,0)*H1605</f>
        <v>3.573</v>
      </c>
      <c r="E1605">
        <v>11.62</v>
      </c>
      <c r="G1605">
        <f t="shared" si="30"/>
        <v>8.047</v>
      </c>
      <c r="H1605">
        <v>3</v>
      </c>
    </row>
    <row r="1606" spans="2:8">
      <c r="B1606" s="3">
        <v>45638</v>
      </c>
      <c r="C1606" t="s">
        <v>50</v>
      </c>
      <c r="D1606">
        <f>VLOOKUP(C1606,成本价!$C$2:$D$1000,2,0)*H1606</f>
        <v>2.749</v>
      </c>
      <c r="E1606">
        <v>11.9</v>
      </c>
      <c r="G1606">
        <f t="shared" si="30"/>
        <v>9.151</v>
      </c>
      <c r="H1606">
        <v>1</v>
      </c>
    </row>
    <row r="1607" spans="2:10">
      <c r="B1607" s="3">
        <v>45638</v>
      </c>
      <c r="C1607" t="s">
        <v>57</v>
      </c>
      <c r="D1607">
        <f>VLOOKUP(C1607,成本价!$C$2:$D$1000,2,0)*H1607</f>
        <v>8.9</v>
      </c>
      <c r="E1607">
        <v>33.61</v>
      </c>
      <c r="G1607">
        <f t="shared" si="30"/>
        <v>24.71</v>
      </c>
      <c r="H1607">
        <v>1</v>
      </c>
      <c r="J1607" s="2" t="s">
        <v>74</v>
      </c>
    </row>
    <row r="1608" spans="2:10">
      <c r="B1608" s="3">
        <v>45638</v>
      </c>
      <c r="C1608" t="s">
        <v>94</v>
      </c>
      <c r="D1608">
        <f>VLOOKUP(C1608,成本价!$C$2:$D$1000,2,0)*H1608</f>
        <v>6.5</v>
      </c>
      <c r="G1608">
        <f t="shared" si="30"/>
        <v>-6.5</v>
      </c>
      <c r="H1608">
        <f>1/3*5</f>
        <v>1.66666666666667</v>
      </c>
      <c r="J1608" s="2" t="s">
        <v>74</v>
      </c>
    </row>
    <row r="1609" spans="2:10">
      <c r="B1609" s="3">
        <v>45638</v>
      </c>
      <c r="C1609" t="s">
        <v>45</v>
      </c>
      <c r="D1609">
        <f>VLOOKUP(C1609,成本价!$C$2:$D$1000,2,0)*H1609</f>
        <v>9.6</v>
      </c>
      <c r="E1609">
        <v>23.04</v>
      </c>
      <c r="G1609">
        <f t="shared" si="30"/>
        <v>13.44</v>
      </c>
      <c r="H1609">
        <v>4</v>
      </c>
      <c r="J1609" s="2" t="s">
        <v>74</v>
      </c>
    </row>
    <row r="1610" spans="2:10">
      <c r="B1610" s="3">
        <v>45638</v>
      </c>
      <c r="C1610" t="s">
        <v>46</v>
      </c>
      <c r="D1610">
        <f>VLOOKUP(C1610,成本价!$C$2:$D$1000,2,0)*H1610</f>
        <v>2.7</v>
      </c>
      <c r="G1610">
        <f t="shared" si="30"/>
        <v>-2.7</v>
      </c>
      <c r="H1610">
        <v>1</v>
      </c>
      <c r="J1610" s="2" t="s">
        <v>74</v>
      </c>
    </row>
    <row r="1611" spans="2:10">
      <c r="B1611" s="3">
        <v>45638</v>
      </c>
      <c r="C1611" t="s">
        <v>70</v>
      </c>
      <c r="D1611">
        <f>VLOOKUP(C1611,成本价!$C$2:$D$1000,2,0)*H1611</f>
        <v>13.72</v>
      </c>
      <c r="E1611">
        <v>33.9</v>
      </c>
      <c r="G1611">
        <f t="shared" si="30"/>
        <v>20.18</v>
      </c>
      <c r="H1611">
        <v>1</v>
      </c>
      <c r="J1611" s="2" t="s">
        <v>74</v>
      </c>
    </row>
    <row r="1612" spans="2:10">
      <c r="B1612" s="3">
        <v>45638</v>
      </c>
      <c r="C1612" t="s">
        <v>91</v>
      </c>
      <c r="J1612" s="2" t="s">
        <v>74</v>
      </c>
    </row>
    <row r="1613" spans="9:9">
      <c r="I1613">
        <f>113.75+29.36</f>
        <v>143.11</v>
      </c>
    </row>
    <row r="1614" spans="2:8">
      <c r="B1614" s="29">
        <v>45639</v>
      </c>
      <c r="C1614" t="s">
        <v>70</v>
      </c>
      <c r="D1614">
        <f>VLOOKUP(C1614,成本价!$C$2:$D$1000,2,0)*H1614</f>
        <v>13.72</v>
      </c>
      <c r="E1614">
        <v>32.22</v>
      </c>
      <c r="F1614">
        <v>101.5</v>
      </c>
      <c r="G1614">
        <f t="shared" ref="G1614:G1677" si="31">E1614-D1614</f>
        <v>18.5</v>
      </c>
      <c r="H1614">
        <v>1</v>
      </c>
    </row>
    <row r="1615" spans="2:8">
      <c r="B1615" s="3">
        <v>45639</v>
      </c>
      <c r="C1615" t="s">
        <v>91</v>
      </c>
      <c r="D1615">
        <f>VLOOKUP(C1615,成本价!$C$2:$D$1000,2,0)*H1615</f>
        <v>3</v>
      </c>
      <c r="G1615">
        <f t="shared" si="31"/>
        <v>-3</v>
      </c>
      <c r="H1615">
        <v>1</v>
      </c>
    </row>
    <row r="1616" spans="2:8">
      <c r="B1616" s="3">
        <v>45639</v>
      </c>
      <c r="C1616" t="s">
        <v>87</v>
      </c>
      <c r="D1616">
        <f>VLOOKUP(C1616,成本价!$C$2:$D$1000,2,0)*H1616</f>
        <v>2.6775</v>
      </c>
      <c r="E1616">
        <f>9.4+7.23+7.91</f>
        <v>24.54</v>
      </c>
      <c r="G1616">
        <f t="shared" si="31"/>
        <v>21.8625</v>
      </c>
      <c r="H1616">
        <f>9+9+3</f>
        <v>21</v>
      </c>
    </row>
    <row r="1617" spans="2:8">
      <c r="B1617" s="3">
        <v>45639</v>
      </c>
      <c r="C1617" t="s">
        <v>88</v>
      </c>
      <c r="D1617">
        <f>VLOOKUP(C1617,成本价!$C$2:$D$1000,2,0)*H1617</f>
        <v>2.835</v>
      </c>
      <c r="E1617">
        <f>7.23</f>
        <v>7.23</v>
      </c>
      <c r="G1617">
        <f t="shared" si="31"/>
        <v>4.395</v>
      </c>
      <c r="H1617">
        <f>3+9+9</f>
        <v>21</v>
      </c>
    </row>
    <row r="1618" spans="2:7">
      <c r="B1618" s="3">
        <v>45639</v>
      </c>
      <c r="C1618" t="s">
        <v>109</v>
      </c>
      <c r="D1618">
        <f>VLOOKUP(C1618,成本价!$C$2:$D$1000,2,0)*H1618</f>
        <v>0</v>
      </c>
      <c r="G1618">
        <f t="shared" si="31"/>
        <v>0</v>
      </c>
    </row>
    <row r="1619" spans="2:8">
      <c r="B1619" s="3">
        <v>45639</v>
      </c>
      <c r="C1619" t="s">
        <v>94</v>
      </c>
      <c r="D1619">
        <f>VLOOKUP(C1619,成本价!$C$2:$D$1000,2,0)*H1619</f>
        <v>3.9</v>
      </c>
      <c r="E1619">
        <v>11.09</v>
      </c>
      <c r="G1619">
        <f t="shared" si="31"/>
        <v>7.19</v>
      </c>
      <c r="H1619">
        <v>1</v>
      </c>
    </row>
    <row r="1620" spans="2:8">
      <c r="B1620" s="3">
        <v>45639</v>
      </c>
      <c r="C1620" t="s">
        <v>33</v>
      </c>
      <c r="D1620">
        <f>VLOOKUP(C1620,成本价!$C$2:$D$1000,2,0)*H1620</f>
        <v>1.7</v>
      </c>
      <c r="E1620">
        <v>7.39</v>
      </c>
      <c r="G1620">
        <f t="shared" si="31"/>
        <v>5.69</v>
      </c>
      <c r="H1620">
        <v>1</v>
      </c>
    </row>
    <row r="1621" spans="2:8">
      <c r="B1621" s="3">
        <v>45639</v>
      </c>
      <c r="C1621" t="s">
        <v>54</v>
      </c>
      <c r="D1621">
        <f>VLOOKUP(C1621,成本价!$C$2:$D$1000,2,0)*H1621</f>
        <v>14.7</v>
      </c>
      <c r="E1621">
        <v>28.49</v>
      </c>
      <c r="G1621">
        <f t="shared" si="31"/>
        <v>13.79</v>
      </c>
      <c r="H1621">
        <v>1</v>
      </c>
    </row>
    <row r="1622" spans="2:8">
      <c r="B1622" s="3">
        <v>45639</v>
      </c>
      <c r="C1622" t="s">
        <v>36</v>
      </c>
      <c r="D1622">
        <f>VLOOKUP(C1622,成本价!$C$2:$D$1000,2,0)*H1622</f>
        <v>3.48</v>
      </c>
      <c r="E1622">
        <v>7.15</v>
      </c>
      <c r="G1622">
        <f t="shared" si="31"/>
        <v>3.67</v>
      </c>
      <c r="H1622">
        <v>1.5</v>
      </c>
    </row>
    <row r="1623" spans="2:8">
      <c r="B1623" s="3">
        <v>45639</v>
      </c>
      <c r="C1623" t="s">
        <v>37</v>
      </c>
      <c r="D1623">
        <f>VLOOKUP(C1623,成本价!$C$2:$D$1000,2,0)*H1623</f>
        <v>3.81</v>
      </c>
      <c r="E1623">
        <v>5.15</v>
      </c>
      <c r="G1623">
        <f t="shared" si="31"/>
        <v>1.34</v>
      </c>
      <c r="H1623">
        <v>1.5</v>
      </c>
    </row>
    <row r="1624" spans="2:8">
      <c r="B1624" s="3">
        <v>45639</v>
      </c>
      <c r="C1624" t="s">
        <v>76</v>
      </c>
      <c r="D1624">
        <f>VLOOKUP(C1624,成本价!$C$2:$D$1000,2,0)*H1624</f>
        <v>1.7856</v>
      </c>
      <c r="E1624">
        <v>11.74</v>
      </c>
      <c r="G1624">
        <f t="shared" si="31"/>
        <v>9.9544</v>
      </c>
      <c r="H1624">
        <v>1</v>
      </c>
    </row>
    <row r="1625" spans="2:8">
      <c r="B1625" s="3">
        <v>45639</v>
      </c>
      <c r="C1625" t="s">
        <v>49</v>
      </c>
      <c r="D1625">
        <f>VLOOKUP(C1625,成本价!$C$2:$D$1000,2,0)*H1625</f>
        <v>1.975</v>
      </c>
      <c r="E1625">
        <v>10.3</v>
      </c>
      <c r="G1625">
        <f t="shared" si="31"/>
        <v>8.325</v>
      </c>
      <c r="H1625">
        <v>1</v>
      </c>
    </row>
    <row r="1626" spans="2:8">
      <c r="B1626" s="3">
        <v>45639</v>
      </c>
      <c r="C1626" t="s">
        <v>43</v>
      </c>
      <c r="D1626">
        <f>VLOOKUP(C1626,成本价!$C$2:$D$1000,2,0)*H1626</f>
        <v>3.03</v>
      </c>
      <c r="E1626">
        <v>7.24</v>
      </c>
      <c r="G1626">
        <f t="shared" si="31"/>
        <v>4.21</v>
      </c>
      <c r="H1626">
        <v>1.5</v>
      </c>
    </row>
    <row r="1627" spans="2:8">
      <c r="B1627" s="3">
        <v>45639</v>
      </c>
      <c r="C1627" t="s">
        <v>95</v>
      </c>
      <c r="D1627">
        <f>VLOOKUP(C1627,成本价!$C$2:$D$1000,2,0)*H1627</f>
        <v>2.4</v>
      </c>
      <c r="E1627">
        <v>7.99</v>
      </c>
      <c r="G1627">
        <f t="shared" si="31"/>
        <v>5.59</v>
      </c>
      <c r="H1627">
        <v>1</v>
      </c>
    </row>
    <row r="1628" spans="2:8">
      <c r="B1628" s="3">
        <v>45639</v>
      </c>
      <c r="C1628" t="s">
        <v>93</v>
      </c>
      <c r="D1628">
        <f>VLOOKUP(C1628,成本价!$C$2:$D$1000,2,0)*H1628</f>
        <v>4.77</v>
      </c>
      <c r="E1628">
        <v>11.89</v>
      </c>
      <c r="G1628">
        <f t="shared" si="31"/>
        <v>7.12</v>
      </c>
      <c r="H1628">
        <v>1</v>
      </c>
    </row>
    <row r="1629" spans="2:8">
      <c r="B1629" s="3">
        <v>45639</v>
      </c>
      <c r="C1629" t="s">
        <v>57</v>
      </c>
      <c r="D1629">
        <f>VLOOKUP(C1629,成本价!$C$2:$D$1000,2,0)*H1629</f>
        <v>8.9</v>
      </c>
      <c r="E1629">
        <v>28.46</v>
      </c>
      <c r="G1629">
        <f t="shared" si="31"/>
        <v>19.56</v>
      </c>
      <c r="H1629">
        <v>1</v>
      </c>
    </row>
    <row r="1630" spans="2:8">
      <c r="B1630" s="3">
        <v>45639</v>
      </c>
      <c r="C1630" t="s">
        <v>90</v>
      </c>
      <c r="D1630">
        <f>VLOOKUP(C1630,成本价!$C$2:$D$1000,2,0)*H1630</f>
        <v>5.2</v>
      </c>
      <c r="G1630">
        <f t="shared" si="31"/>
        <v>-5.2</v>
      </c>
      <c r="H1630">
        <v>2</v>
      </c>
    </row>
    <row r="1631" spans="2:8">
      <c r="B1631" s="3">
        <v>45639</v>
      </c>
      <c r="C1631" t="s">
        <v>59</v>
      </c>
      <c r="D1631">
        <f>VLOOKUP(C1631,成本价!$C$2:$D$1000,2,0)*H1631</f>
        <v>8.7</v>
      </c>
      <c r="E1631">
        <v>28.46</v>
      </c>
      <c r="G1631">
        <f t="shared" si="31"/>
        <v>19.76</v>
      </c>
      <c r="H1631">
        <v>1</v>
      </c>
    </row>
    <row r="1632" spans="2:8">
      <c r="B1632" s="3">
        <v>45639</v>
      </c>
      <c r="C1632" t="s">
        <v>50</v>
      </c>
      <c r="D1632">
        <f>VLOOKUP(C1632,成本价!$C$2:$D$1000,2,0)*H1632</f>
        <v>2.749</v>
      </c>
      <c r="E1632">
        <v>10.39</v>
      </c>
      <c r="G1632">
        <f t="shared" si="31"/>
        <v>7.641</v>
      </c>
      <c r="H1632">
        <v>1</v>
      </c>
    </row>
    <row r="1633" spans="2:8">
      <c r="B1633" s="3">
        <v>45639</v>
      </c>
      <c r="C1633" t="s">
        <v>60</v>
      </c>
      <c r="D1633">
        <f>VLOOKUP(C1633,成本价!$C$2:$D$1000,2,0)*H1633</f>
        <v>5.2</v>
      </c>
      <c r="E1633">
        <v>19.05</v>
      </c>
      <c r="G1633">
        <f t="shared" si="31"/>
        <v>13.85</v>
      </c>
      <c r="H1633">
        <v>1</v>
      </c>
    </row>
    <row r="1634" spans="2:8">
      <c r="B1634" s="3">
        <v>45639</v>
      </c>
      <c r="C1634" t="s">
        <v>55</v>
      </c>
      <c r="D1634">
        <f>VLOOKUP(C1634,成本价!$C$2:$D$1000,2,0)*H1634</f>
        <v>3.513</v>
      </c>
      <c r="E1634">
        <v>13.25</v>
      </c>
      <c r="G1634">
        <f t="shared" si="31"/>
        <v>9.737</v>
      </c>
      <c r="H1634">
        <v>3</v>
      </c>
    </row>
    <row r="1635" spans="2:8">
      <c r="B1635" s="3">
        <v>45639</v>
      </c>
      <c r="C1635" t="s">
        <v>50</v>
      </c>
      <c r="D1635">
        <f>VLOOKUP(C1635,成本价!$C$2:$D$1000,2,0)*H1635</f>
        <v>2.749</v>
      </c>
      <c r="E1635">
        <v>10.51</v>
      </c>
      <c r="G1635">
        <f t="shared" si="31"/>
        <v>7.761</v>
      </c>
      <c r="H1635">
        <v>1</v>
      </c>
    </row>
    <row r="1636" spans="2:8">
      <c r="B1636" s="3">
        <v>45639</v>
      </c>
      <c r="C1636" t="s">
        <v>23</v>
      </c>
      <c r="D1636">
        <f>VLOOKUP(C1636,成本价!$C$2:$D$1000,2,0)*H1636</f>
        <v>3.12</v>
      </c>
      <c r="E1636">
        <v>7.24</v>
      </c>
      <c r="G1636">
        <f t="shared" si="31"/>
        <v>4.12</v>
      </c>
      <c r="H1636">
        <v>1.5</v>
      </c>
    </row>
    <row r="1637" spans="2:8">
      <c r="B1637" s="3">
        <v>45639</v>
      </c>
      <c r="C1637" t="s">
        <v>76</v>
      </c>
      <c r="D1637">
        <f>VLOOKUP(C1637,成本价!$C$2:$D$1000,2,0)*H1637</f>
        <v>1.7856</v>
      </c>
      <c r="E1637">
        <v>10.87</v>
      </c>
      <c r="G1637">
        <f t="shared" si="31"/>
        <v>9.0844</v>
      </c>
      <c r="H1637">
        <v>1</v>
      </c>
    </row>
    <row r="1638" spans="2:10">
      <c r="B1638" s="3">
        <v>45639</v>
      </c>
      <c r="C1638" t="s">
        <v>102</v>
      </c>
      <c r="D1638">
        <f>VLOOKUP(C1638,成本价!$C$2:$D$1000,2,0)*H1638</f>
        <v>7.5</v>
      </c>
      <c r="E1638">
        <v>28.1</v>
      </c>
      <c r="G1638">
        <f t="shared" si="31"/>
        <v>20.6</v>
      </c>
      <c r="H1638">
        <v>1</v>
      </c>
      <c r="J1638" s="2" t="s">
        <v>74</v>
      </c>
    </row>
    <row r="1639" spans="2:10">
      <c r="B1639" s="3">
        <v>45639</v>
      </c>
      <c r="C1639" t="s">
        <v>45</v>
      </c>
      <c r="D1639">
        <f>VLOOKUP(C1639,成本价!$C$2:$D$1000,2,0)*H1639</f>
        <v>2.4</v>
      </c>
      <c r="G1639">
        <f t="shared" si="31"/>
        <v>-2.4</v>
      </c>
      <c r="H1639">
        <v>1</v>
      </c>
      <c r="J1639" s="2" t="s">
        <v>74</v>
      </c>
    </row>
    <row r="1640" spans="2:10">
      <c r="B1640" s="3">
        <v>45639</v>
      </c>
      <c r="C1640" t="s">
        <v>46</v>
      </c>
      <c r="D1640">
        <f>VLOOKUP(C1640,成本价!$C$2:$D$1000,2,0)*H1640</f>
        <v>5.4</v>
      </c>
      <c r="G1640">
        <f t="shared" si="31"/>
        <v>-5.4</v>
      </c>
      <c r="H1640">
        <v>2</v>
      </c>
      <c r="J1640" s="2" t="s">
        <v>74</v>
      </c>
    </row>
    <row r="1641" spans="2:9">
      <c r="B1641" s="3"/>
      <c r="I1641">
        <f>110.21+28.5</f>
        <v>138.71</v>
      </c>
    </row>
    <row r="1642" spans="2:8">
      <c r="B1642" s="29">
        <v>45640</v>
      </c>
      <c r="C1642" t="s">
        <v>56</v>
      </c>
      <c r="D1642">
        <f>VLOOKUP(C1642,成本价!$C$2:$D$1000,2,0)*H1642</f>
        <v>3.483</v>
      </c>
      <c r="E1642">
        <v>13.55</v>
      </c>
      <c r="F1642">
        <v>70</v>
      </c>
      <c r="G1642">
        <f t="shared" si="31"/>
        <v>10.067</v>
      </c>
      <c r="H1642">
        <v>3</v>
      </c>
    </row>
    <row r="1643" spans="2:8">
      <c r="B1643" s="3">
        <v>45640</v>
      </c>
      <c r="C1643" t="s">
        <v>113</v>
      </c>
      <c r="D1643">
        <f>VLOOKUP(C1643,成本价!$C$2:$D$1000,2,0)*H1643</f>
        <v>9.96</v>
      </c>
      <c r="E1643">
        <v>24.37</v>
      </c>
      <c r="G1643">
        <f t="shared" si="31"/>
        <v>14.41</v>
      </c>
      <c r="H1643">
        <v>1</v>
      </c>
    </row>
    <row r="1644" spans="2:8">
      <c r="B1644" s="3">
        <v>45640</v>
      </c>
      <c r="C1644" t="s">
        <v>91</v>
      </c>
      <c r="D1644">
        <f>VLOOKUP(C1644,成本价!$C$2:$D$1000,2,0)*H1644</f>
        <v>3</v>
      </c>
      <c r="G1644">
        <f t="shared" si="31"/>
        <v>-3</v>
      </c>
      <c r="H1644">
        <v>1</v>
      </c>
    </row>
    <row r="1645" spans="2:8">
      <c r="B1645" s="3">
        <v>45640</v>
      </c>
      <c r="C1645" t="s">
        <v>33</v>
      </c>
      <c r="D1645">
        <f>VLOOKUP(C1645,成本价!$C$2:$D$1000,2,0)*H1645</f>
        <v>1.7</v>
      </c>
      <c r="E1645">
        <v>4.19</v>
      </c>
      <c r="G1645">
        <f t="shared" si="31"/>
        <v>2.49</v>
      </c>
      <c r="H1645">
        <v>1</v>
      </c>
    </row>
    <row r="1646" spans="2:8">
      <c r="B1646" s="3">
        <v>45640</v>
      </c>
      <c r="C1646" t="s">
        <v>55</v>
      </c>
      <c r="D1646">
        <f>VLOOKUP(C1646,成本价!$C$2:$D$1000,2,0)*H1646</f>
        <v>3.513</v>
      </c>
      <c r="E1646">
        <v>13.55</v>
      </c>
      <c r="G1646">
        <f t="shared" si="31"/>
        <v>10.037</v>
      </c>
      <c r="H1646">
        <v>3</v>
      </c>
    </row>
    <row r="1647" spans="2:8">
      <c r="B1647" s="3">
        <v>45640</v>
      </c>
      <c r="C1647" t="s">
        <v>87</v>
      </c>
      <c r="D1647">
        <f>VLOOKUP(C1647,成本价!$C$2:$D$1000,2,0)*H1647</f>
        <v>1.785</v>
      </c>
      <c r="E1647">
        <f>13.9+13.9</f>
        <v>27.8</v>
      </c>
      <c r="G1647">
        <f t="shared" si="31"/>
        <v>26.015</v>
      </c>
      <c r="H1647">
        <f>4+10</f>
        <v>14</v>
      </c>
    </row>
    <row r="1648" spans="2:8">
      <c r="B1648" s="3">
        <v>45640</v>
      </c>
      <c r="C1648" t="s">
        <v>88</v>
      </c>
      <c r="D1648">
        <f>VLOOKUP(C1648,成本价!$C$2:$D$1000,2,0)*H1648</f>
        <v>4.725</v>
      </c>
      <c r="E1648">
        <v>7.23</v>
      </c>
      <c r="G1648">
        <f t="shared" si="31"/>
        <v>2.505</v>
      </c>
      <c r="H1648">
        <f>16+9+10</f>
        <v>35</v>
      </c>
    </row>
    <row r="1649" spans="2:8">
      <c r="B1649" s="3">
        <v>45640</v>
      </c>
      <c r="C1649" t="s">
        <v>109</v>
      </c>
      <c r="D1649">
        <f>VLOOKUP(C1649,成本价!$C$2:$D$1000,2,0)*H1649</f>
        <v>2.7675</v>
      </c>
      <c r="E1649">
        <f>19.76</f>
        <v>19.76</v>
      </c>
      <c r="G1649">
        <f t="shared" si="31"/>
        <v>16.9925</v>
      </c>
      <c r="H1649">
        <v>3</v>
      </c>
    </row>
    <row r="1650" spans="2:8">
      <c r="B1650" s="3">
        <v>45640</v>
      </c>
      <c r="C1650" t="s">
        <v>37</v>
      </c>
      <c r="D1650">
        <f>VLOOKUP(C1650,成本价!$C$2:$D$1000,2,0)*H1650</f>
        <v>3.81</v>
      </c>
      <c r="E1650">
        <v>7.24</v>
      </c>
      <c r="G1650">
        <f t="shared" si="31"/>
        <v>3.43</v>
      </c>
      <c r="H1650">
        <v>1.5</v>
      </c>
    </row>
    <row r="1651" spans="2:8">
      <c r="B1651" s="3">
        <v>45640</v>
      </c>
      <c r="C1651" t="s">
        <v>50</v>
      </c>
      <c r="D1651">
        <f>VLOOKUP(C1651,成本价!$C$2:$D$1000,2,0)*H1651</f>
        <v>2.749</v>
      </c>
      <c r="E1651">
        <v>10.39</v>
      </c>
      <c r="G1651">
        <f t="shared" si="31"/>
        <v>7.641</v>
      </c>
      <c r="H1651">
        <v>1</v>
      </c>
    </row>
    <row r="1652" spans="2:8">
      <c r="B1652" s="3">
        <v>45640</v>
      </c>
      <c r="C1652" t="s">
        <v>16</v>
      </c>
      <c r="D1652">
        <f>VLOOKUP(C1652,成本价!$C$2:$D$1000,2,0)*H1652</f>
        <v>27</v>
      </c>
      <c r="E1652">
        <v>80.46</v>
      </c>
      <c r="G1652">
        <f t="shared" si="31"/>
        <v>53.46</v>
      </c>
      <c r="H1652">
        <v>10</v>
      </c>
    </row>
    <row r="1653" spans="2:8">
      <c r="B1653" s="3">
        <v>45640</v>
      </c>
      <c r="C1653" t="s">
        <v>20</v>
      </c>
      <c r="D1653">
        <f>VLOOKUP(C1653,成本价!$C$2:$D$1000,2,0)*H1653</f>
        <v>12</v>
      </c>
      <c r="G1653">
        <f t="shared" si="31"/>
        <v>-12</v>
      </c>
      <c r="H1653">
        <v>4</v>
      </c>
    </row>
    <row r="1654" spans="2:8">
      <c r="B1654" s="3">
        <v>45640</v>
      </c>
      <c r="C1654" t="s">
        <v>33</v>
      </c>
      <c r="D1654">
        <f>VLOOKUP(C1654,成本价!$C$2:$D$1000,2,0)*H1654</f>
        <v>2.55</v>
      </c>
      <c r="E1654">
        <v>5.24</v>
      </c>
      <c r="G1654">
        <f t="shared" si="31"/>
        <v>2.69</v>
      </c>
      <c r="H1654">
        <v>1.5</v>
      </c>
    </row>
    <row r="1655" spans="2:8">
      <c r="B1655" s="3">
        <v>45640</v>
      </c>
      <c r="C1655" t="s">
        <v>50</v>
      </c>
      <c r="D1655">
        <f>VLOOKUP(C1655,成本价!$C$2:$D$1000,2,0)*H1655</f>
        <v>2.749</v>
      </c>
      <c r="E1655">
        <v>10.39</v>
      </c>
      <c r="G1655">
        <f t="shared" si="31"/>
        <v>7.641</v>
      </c>
      <c r="H1655">
        <v>1</v>
      </c>
    </row>
    <row r="1656" spans="2:8">
      <c r="B1656" s="3">
        <v>45640</v>
      </c>
      <c r="C1656" t="s">
        <v>76</v>
      </c>
      <c r="D1656">
        <f>VLOOKUP(C1656,成本价!$C$2:$D$1000,2,0)*H1656</f>
        <v>1.7856</v>
      </c>
      <c r="E1656">
        <v>11.74</v>
      </c>
      <c r="G1656">
        <f t="shared" si="31"/>
        <v>9.9544</v>
      </c>
      <c r="H1656">
        <v>1</v>
      </c>
    </row>
    <row r="1657" spans="2:8">
      <c r="B1657" s="3">
        <v>45640</v>
      </c>
      <c r="C1657" t="s">
        <v>40</v>
      </c>
      <c r="D1657">
        <f>VLOOKUP(C1657,成本价!$C$2:$D$1000,2,0)*H1657</f>
        <v>1.88</v>
      </c>
      <c r="E1657">
        <v>7.63</v>
      </c>
      <c r="G1657">
        <f t="shared" si="31"/>
        <v>5.75</v>
      </c>
      <c r="H1657">
        <v>1</v>
      </c>
    </row>
    <row r="1658" spans="2:8">
      <c r="B1658" s="3">
        <v>45640</v>
      </c>
      <c r="C1658" t="s">
        <v>97</v>
      </c>
      <c r="D1658">
        <f>VLOOKUP(C1658,成本价!$C$2:$D$1000,2,0)*H1658</f>
        <v>4.5</v>
      </c>
      <c r="E1658">
        <v>11.59</v>
      </c>
      <c r="G1658">
        <f t="shared" si="31"/>
        <v>7.09</v>
      </c>
      <c r="H1658">
        <v>1</v>
      </c>
    </row>
    <row r="1659" spans="2:8">
      <c r="B1659" s="3">
        <v>45640</v>
      </c>
      <c r="C1659" t="s">
        <v>23</v>
      </c>
      <c r="D1659">
        <f>VLOOKUP(C1659,成本价!$C$2:$D$1000,2,0)*H1659</f>
        <v>6.24</v>
      </c>
      <c r="E1659">
        <f>7.42+7.42+7.42</f>
        <v>22.26</v>
      </c>
      <c r="G1659">
        <f t="shared" si="31"/>
        <v>16.02</v>
      </c>
      <c r="H1659">
        <v>3</v>
      </c>
    </row>
    <row r="1660" spans="2:8">
      <c r="B1660" s="3">
        <v>45640</v>
      </c>
      <c r="C1660" t="s">
        <v>103</v>
      </c>
      <c r="D1660">
        <f>VLOOKUP(C1660,成本价!$C$2:$D$1000,2,0)*H1660</f>
        <v>3.6</v>
      </c>
      <c r="E1660">
        <v>11.5</v>
      </c>
      <c r="G1660">
        <f t="shared" si="31"/>
        <v>7.9</v>
      </c>
      <c r="H1660">
        <v>1</v>
      </c>
    </row>
    <row r="1661" spans="2:8">
      <c r="B1661" s="3">
        <v>45640</v>
      </c>
      <c r="C1661" t="s">
        <v>36</v>
      </c>
      <c r="D1661">
        <f>VLOOKUP(C1661,成本价!$C$2:$D$1000,2,0)*H1661</f>
        <v>10.44</v>
      </c>
      <c r="E1661">
        <v>21.01</v>
      </c>
      <c r="G1661">
        <f t="shared" si="31"/>
        <v>10.57</v>
      </c>
      <c r="H1661">
        <v>4.5</v>
      </c>
    </row>
    <row r="1662" spans="2:8">
      <c r="B1662" s="3">
        <v>45640</v>
      </c>
      <c r="C1662" t="s">
        <v>36</v>
      </c>
      <c r="D1662">
        <f>VLOOKUP(C1662,成本价!$C$2:$D$1000,2,0)*H1662</f>
        <v>3.48</v>
      </c>
      <c r="E1662">
        <f>7</f>
        <v>7</v>
      </c>
      <c r="G1662">
        <f t="shared" si="31"/>
        <v>3.52</v>
      </c>
      <c r="H1662">
        <v>1.5</v>
      </c>
    </row>
    <row r="1663" spans="2:8">
      <c r="B1663" s="3">
        <v>45640</v>
      </c>
      <c r="C1663" t="s">
        <v>37</v>
      </c>
      <c r="D1663">
        <f>VLOOKUP(C1663,成本价!$C$2:$D$1000,2,0)*H1663</f>
        <v>3.81</v>
      </c>
      <c r="E1663">
        <v>7.01</v>
      </c>
      <c r="G1663">
        <f t="shared" si="31"/>
        <v>3.2</v>
      </c>
      <c r="H1663">
        <v>1.5</v>
      </c>
    </row>
    <row r="1664" spans="2:8">
      <c r="B1664" s="3">
        <v>45640</v>
      </c>
      <c r="C1664" t="s">
        <v>36</v>
      </c>
      <c r="D1664">
        <f>VLOOKUP(C1664,成本价!$C$2:$D$1000,2,0)*H1664</f>
        <v>3.48</v>
      </c>
      <c r="E1664">
        <v>5.24</v>
      </c>
      <c r="G1664">
        <f t="shared" si="31"/>
        <v>1.76</v>
      </c>
      <c r="H1664">
        <v>1.5</v>
      </c>
    </row>
    <row r="1665" spans="2:8">
      <c r="B1665" s="3">
        <v>45640</v>
      </c>
      <c r="C1665" t="s">
        <v>50</v>
      </c>
      <c r="D1665">
        <f>VLOOKUP(C1665,成本价!$C$2:$D$1000,2,0)*H1665</f>
        <v>2.749</v>
      </c>
      <c r="E1665">
        <v>8.18</v>
      </c>
      <c r="G1665">
        <f t="shared" si="31"/>
        <v>5.431</v>
      </c>
      <c r="H1665">
        <v>1</v>
      </c>
    </row>
    <row r="1666" spans="2:8">
      <c r="B1666" s="3">
        <v>45640</v>
      </c>
      <c r="C1666" t="s">
        <v>12</v>
      </c>
      <c r="D1666">
        <f>VLOOKUP(C1666,成本价!$C$2:$D$1000,2,0)*H1666</f>
        <v>1.935</v>
      </c>
      <c r="E1666">
        <v>10.67</v>
      </c>
      <c r="G1666">
        <f t="shared" si="31"/>
        <v>8.735</v>
      </c>
      <c r="H1666">
        <v>5</v>
      </c>
    </row>
    <row r="1667" spans="2:8">
      <c r="B1667" s="3">
        <v>45640</v>
      </c>
      <c r="C1667" t="s">
        <v>81</v>
      </c>
      <c r="D1667">
        <f>VLOOKUP(C1667,成本价!$C$2:$D$1000,2,0)*H1667</f>
        <v>5.64</v>
      </c>
      <c r="E1667">
        <v>18.79</v>
      </c>
      <c r="G1667">
        <f t="shared" si="31"/>
        <v>13.15</v>
      </c>
      <c r="H1667">
        <v>1</v>
      </c>
    </row>
    <row r="1668" spans="2:8">
      <c r="B1668" s="3">
        <v>45640</v>
      </c>
      <c r="C1668" t="s">
        <v>37</v>
      </c>
      <c r="D1668">
        <f>VLOOKUP(C1668,成本价!$C$2:$D$1000,2,0)*H1668</f>
        <v>7.62</v>
      </c>
      <c r="E1668">
        <f>5.15+7.15</f>
        <v>12.3</v>
      </c>
      <c r="G1668">
        <f t="shared" si="31"/>
        <v>4.68</v>
      </c>
      <c r="H1668">
        <v>3</v>
      </c>
    </row>
    <row r="1669" spans="2:10">
      <c r="B1669" s="3">
        <v>45640</v>
      </c>
      <c r="C1669" t="s">
        <v>60</v>
      </c>
      <c r="D1669">
        <f>VLOOKUP(C1669,成本价!$C$2:$D$1000,2,0)*H1669</f>
        <v>5.2</v>
      </c>
      <c r="E1669">
        <v>16.5</v>
      </c>
      <c r="G1669">
        <f t="shared" si="31"/>
        <v>11.3</v>
      </c>
      <c r="H1669">
        <v>1</v>
      </c>
      <c r="J1669" s="2" t="s">
        <v>74</v>
      </c>
    </row>
    <row r="1670" spans="2:8">
      <c r="B1670" s="3">
        <v>45640</v>
      </c>
      <c r="C1670" t="s">
        <v>23</v>
      </c>
      <c r="D1670">
        <f>VLOOKUP(C1670,成本价!$C$2:$D$1000,2,0)*H1670</f>
        <v>2.08</v>
      </c>
      <c r="E1670">
        <v>6.89</v>
      </c>
      <c r="G1670">
        <f t="shared" si="31"/>
        <v>4.81</v>
      </c>
      <c r="H1670">
        <v>1</v>
      </c>
    </row>
    <row r="1671" spans="2:8">
      <c r="B1671" s="3">
        <v>45640</v>
      </c>
      <c r="C1671" t="s">
        <v>33</v>
      </c>
      <c r="D1671">
        <f>VLOOKUP(C1671,成本价!$C$2:$D$1000,2,0)*H1671</f>
        <v>5.1</v>
      </c>
      <c r="E1671">
        <v>25.88</v>
      </c>
      <c r="G1671">
        <f t="shared" si="31"/>
        <v>20.78</v>
      </c>
      <c r="H1671">
        <v>3</v>
      </c>
    </row>
    <row r="1672" spans="2:8">
      <c r="B1672" s="3">
        <v>45640</v>
      </c>
      <c r="C1672" t="s">
        <v>27</v>
      </c>
      <c r="D1672">
        <f>VLOOKUP(C1672,成本价!$C$2:$D$1000,2,0)*H1672</f>
        <v>1.8</v>
      </c>
      <c r="G1672">
        <f t="shared" si="31"/>
        <v>-1.8</v>
      </c>
      <c r="H1672">
        <v>1</v>
      </c>
    </row>
    <row r="1673" spans="2:8">
      <c r="B1673" s="3">
        <v>45640</v>
      </c>
      <c r="C1673" t="s">
        <v>94</v>
      </c>
      <c r="D1673">
        <f>VLOOKUP(C1673,成本价!$C$2:$D$1000,2,0)*H1673</f>
        <v>3.9</v>
      </c>
      <c r="G1673">
        <f t="shared" si="31"/>
        <v>-3.9</v>
      </c>
      <c r="H1673">
        <v>1</v>
      </c>
    </row>
    <row r="1674" spans="2:9">
      <c r="B1674" s="3"/>
      <c r="I1674">
        <f>93.08+20.8</f>
        <v>113.88</v>
      </c>
    </row>
    <row r="1675" spans="2:8">
      <c r="B1675" s="29">
        <v>45641</v>
      </c>
      <c r="C1675" t="s">
        <v>58</v>
      </c>
      <c r="D1675">
        <f>VLOOKUP(C1675,成本价!$C$2:$D$1000,2,0)*H1675</f>
        <v>8.4</v>
      </c>
      <c r="E1675">
        <v>19.24</v>
      </c>
      <c r="F1675">
        <v>70</v>
      </c>
      <c r="G1675">
        <f t="shared" si="31"/>
        <v>10.84</v>
      </c>
      <c r="H1675">
        <v>1</v>
      </c>
    </row>
    <row r="1676" spans="2:8">
      <c r="B1676" s="3">
        <v>45641</v>
      </c>
      <c r="C1676" t="s">
        <v>50</v>
      </c>
      <c r="D1676">
        <f>VLOOKUP(C1676,成本价!$C$2:$D$1000,2,0)*H1676</f>
        <v>2.749</v>
      </c>
      <c r="E1676">
        <v>10.39</v>
      </c>
      <c r="G1676">
        <f t="shared" si="31"/>
        <v>7.641</v>
      </c>
      <c r="H1676">
        <v>1</v>
      </c>
    </row>
    <row r="1677" spans="2:8">
      <c r="B1677" s="3">
        <v>45641</v>
      </c>
      <c r="C1677" t="s">
        <v>79</v>
      </c>
      <c r="D1677">
        <f>VLOOKUP(C1677,成本价!$C$2:$D$1000,2,0)*H1677</f>
        <v>12.3</v>
      </c>
      <c r="E1677">
        <v>34.99</v>
      </c>
      <c r="G1677">
        <f t="shared" si="31"/>
        <v>22.69</v>
      </c>
      <c r="H1677">
        <v>1</v>
      </c>
    </row>
    <row r="1678" spans="2:8">
      <c r="B1678" s="3">
        <v>45641</v>
      </c>
      <c r="C1678" t="s">
        <v>90</v>
      </c>
      <c r="D1678">
        <f>VLOOKUP(C1678,成本价!$C$2:$D$1000,2,0)*H1678</f>
        <v>2.6</v>
      </c>
      <c r="G1678">
        <f t="shared" ref="G1678:G1700" si="32">E1678-D1678</f>
        <v>-2.6</v>
      </c>
      <c r="H1678">
        <v>1</v>
      </c>
    </row>
    <row r="1679" spans="2:8">
      <c r="B1679" s="3">
        <v>45641</v>
      </c>
      <c r="C1679" t="s">
        <v>77</v>
      </c>
      <c r="D1679">
        <f>VLOOKUP(C1679,成本价!$C$2:$D$1000,2,0)*H1679</f>
        <v>0.4032</v>
      </c>
      <c r="E1679">
        <v>5.57</v>
      </c>
      <c r="G1679">
        <f t="shared" si="32"/>
        <v>5.1668</v>
      </c>
      <c r="H1679">
        <v>1</v>
      </c>
    </row>
    <row r="1680" spans="2:8">
      <c r="B1680" s="3">
        <v>45641</v>
      </c>
      <c r="C1680" t="s">
        <v>27</v>
      </c>
      <c r="D1680">
        <f>VLOOKUP(C1680,成本价!$C$2:$D$1000,2,0)*H1680</f>
        <v>2.7</v>
      </c>
      <c r="E1680">
        <v>5.85</v>
      </c>
      <c r="G1680">
        <f t="shared" si="32"/>
        <v>3.15</v>
      </c>
      <c r="H1680">
        <v>1.5</v>
      </c>
    </row>
    <row r="1681" spans="2:8">
      <c r="B1681" s="3">
        <v>45641</v>
      </c>
      <c r="C1681" t="s">
        <v>114</v>
      </c>
      <c r="D1681">
        <f>VLOOKUP(C1681,成本价!$C$2:$D$1000,2,0)*H1681</f>
        <v>0.2304</v>
      </c>
      <c r="E1681">
        <v>4.94</v>
      </c>
      <c r="G1681">
        <f t="shared" si="32"/>
        <v>4.7096</v>
      </c>
      <c r="H1681">
        <v>1</v>
      </c>
    </row>
    <row r="1682" spans="2:8">
      <c r="B1682" s="3">
        <v>45641</v>
      </c>
      <c r="C1682" t="s">
        <v>87</v>
      </c>
      <c r="D1682">
        <f>VLOOKUP(C1682,成本价!$C$2:$D$1000,2,0)*H1682</f>
        <v>1.785</v>
      </c>
      <c r="E1682">
        <f>6.82+7.23</f>
        <v>14.05</v>
      </c>
      <c r="G1682">
        <f t="shared" si="32"/>
        <v>12.265</v>
      </c>
      <c r="H1682">
        <f>8+6</f>
        <v>14</v>
      </c>
    </row>
    <row r="1683" spans="2:8">
      <c r="B1683" s="3">
        <v>45641</v>
      </c>
      <c r="C1683" t="s">
        <v>88</v>
      </c>
      <c r="D1683">
        <f>VLOOKUP(C1683,成本价!$C$2:$D$1000,2,0)*H1683</f>
        <v>0.54</v>
      </c>
      <c r="G1683">
        <f t="shared" si="32"/>
        <v>-0.54</v>
      </c>
      <c r="H1683">
        <f>1+3</f>
        <v>4</v>
      </c>
    </row>
    <row r="1684" spans="2:8">
      <c r="B1684" s="3">
        <v>45641</v>
      </c>
      <c r="C1684" t="s">
        <v>109</v>
      </c>
      <c r="D1684">
        <f>VLOOKUP(C1684,成本价!$C$2:$D$1000,2,0)*H1684</f>
        <v>0</v>
      </c>
      <c r="G1684">
        <f t="shared" si="32"/>
        <v>0</v>
      </c>
      <c r="H1684">
        <v>0</v>
      </c>
    </row>
    <row r="1685" spans="2:8">
      <c r="B1685" s="3">
        <v>45641</v>
      </c>
      <c r="C1685" t="s">
        <v>28</v>
      </c>
      <c r="D1685">
        <f>VLOOKUP(C1685,成本价!$C$2:$D$1000,2,0)*H1685</f>
        <v>2.22</v>
      </c>
      <c r="E1685">
        <v>7.43</v>
      </c>
      <c r="G1685">
        <f t="shared" si="32"/>
        <v>5.21</v>
      </c>
      <c r="H1685">
        <v>1</v>
      </c>
    </row>
    <row r="1686" spans="2:8">
      <c r="B1686" s="3">
        <v>45641</v>
      </c>
      <c r="C1686" t="s">
        <v>49</v>
      </c>
      <c r="D1686">
        <f>VLOOKUP(C1686,成本价!$C$2:$D$1000,2,0)*H1686</f>
        <v>1.975</v>
      </c>
      <c r="E1686">
        <v>9.14</v>
      </c>
      <c r="G1686">
        <f t="shared" si="32"/>
        <v>7.165</v>
      </c>
      <c r="H1686">
        <v>1</v>
      </c>
    </row>
    <row r="1687" spans="2:8">
      <c r="B1687" s="3">
        <v>45641</v>
      </c>
      <c r="C1687" t="s">
        <v>55</v>
      </c>
      <c r="D1687">
        <f>VLOOKUP(C1687,成本价!$C$2:$D$1000,2,0)*H1687</f>
        <v>3.513</v>
      </c>
      <c r="E1687">
        <v>13.55</v>
      </c>
      <c r="G1687">
        <f t="shared" si="32"/>
        <v>10.037</v>
      </c>
      <c r="H1687">
        <v>3</v>
      </c>
    </row>
    <row r="1688" spans="2:8">
      <c r="B1688" s="3">
        <v>45641</v>
      </c>
      <c r="C1688" t="s">
        <v>97</v>
      </c>
      <c r="D1688">
        <f>VLOOKUP(C1688,成本价!$C$2:$D$1000,2,0)*H1688</f>
        <v>4.5</v>
      </c>
      <c r="E1688">
        <v>11.59</v>
      </c>
      <c r="G1688">
        <f t="shared" si="32"/>
        <v>7.09</v>
      </c>
      <c r="H1688">
        <v>1</v>
      </c>
    </row>
    <row r="1689" spans="2:8">
      <c r="B1689" s="3">
        <v>45641</v>
      </c>
      <c r="C1689" t="s">
        <v>36</v>
      </c>
      <c r="D1689">
        <f>VLOOKUP(C1689,成本价!$C$2:$D$1000,2,0)*H1689</f>
        <v>3.48</v>
      </c>
      <c r="E1689">
        <v>6.66</v>
      </c>
      <c r="G1689">
        <f t="shared" si="32"/>
        <v>3.18</v>
      </c>
      <c r="H1689">
        <v>1.5</v>
      </c>
    </row>
    <row r="1690" spans="2:8">
      <c r="B1690" s="3">
        <v>45641</v>
      </c>
      <c r="C1690" t="s">
        <v>27</v>
      </c>
      <c r="D1690">
        <f>VLOOKUP(C1690,成本价!$C$2:$D$1000,2,0)*H1690</f>
        <v>1.8</v>
      </c>
      <c r="E1690">
        <v>7.46</v>
      </c>
      <c r="G1690">
        <f t="shared" si="32"/>
        <v>5.66</v>
      </c>
      <c r="H1690">
        <v>1</v>
      </c>
    </row>
    <row r="1691" spans="2:8">
      <c r="B1691" s="3">
        <v>45641</v>
      </c>
      <c r="C1691" t="s">
        <v>37</v>
      </c>
      <c r="D1691">
        <f>VLOOKUP(C1691,成本价!$C$2:$D$1000,2,0)*H1691</f>
        <v>3.81</v>
      </c>
      <c r="E1691">
        <v>5.97</v>
      </c>
      <c r="G1691">
        <f t="shared" si="32"/>
        <v>2.16</v>
      </c>
      <c r="H1691">
        <v>1.5</v>
      </c>
    </row>
    <row r="1692" spans="2:8">
      <c r="B1692" s="3">
        <v>45641</v>
      </c>
      <c r="C1692" t="s">
        <v>55</v>
      </c>
      <c r="D1692">
        <f>VLOOKUP(C1692,成本价!$C$2:$D$1000,2,0)*H1692</f>
        <v>3.513</v>
      </c>
      <c r="E1692">
        <v>13.55</v>
      </c>
      <c r="G1692">
        <f t="shared" si="32"/>
        <v>10.037</v>
      </c>
      <c r="H1692">
        <v>3</v>
      </c>
    </row>
    <row r="1693" spans="2:8">
      <c r="B1693" s="3">
        <v>45641</v>
      </c>
      <c r="C1693" t="s">
        <v>79</v>
      </c>
      <c r="D1693">
        <f>VLOOKUP(C1693,成本价!$C$2:$D$1000,2,0)*H1693</f>
        <v>12.3</v>
      </c>
      <c r="E1693">
        <v>35.41</v>
      </c>
      <c r="G1693">
        <f t="shared" si="32"/>
        <v>23.11</v>
      </c>
      <c r="H1693">
        <v>1</v>
      </c>
    </row>
    <row r="1694" spans="2:8">
      <c r="B1694" s="3">
        <v>45641</v>
      </c>
      <c r="C1694" t="s">
        <v>90</v>
      </c>
      <c r="D1694">
        <f>VLOOKUP(C1694,成本价!$C$2:$D$1000,2,0)*H1694</f>
        <v>2.6</v>
      </c>
      <c r="G1694">
        <f t="shared" si="32"/>
        <v>-2.6</v>
      </c>
      <c r="H1694">
        <v>1</v>
      </c>
    </row>
    <row r="1695" spans="2:8">
      <c r="B1695" s="3">
        <v>45641</v>
      </c>
      <c r="C1695" t="s">
        <v>77</v>
      </c>
      <c r="D1695">
        <f>VLOOKUP(C1695,成本价!$C$2:$D$1000,2,0)*H1695</f>
        <v>0.8064</v>
      </c>
      <c r="E1695">
        <v>11.14</v>
      </c>
      <c r="G1695">
        <f t="shared" si="32"/>
        <v>10.3336</v>
      </c>
      <c r="H1695">
        <v>2</v>
      </c>
    </row>
    <row r="1696" spans="2:8">
      <c r="B1696" s="3">
        <v>45641</v>
      </c>
      <c r="C1696" t="s">
        <v>36</v>
      </c>
      <c r="D1696">
        <f>VLOOKUP(C1696,成本价!$C$2:$D$1000,2,0)*H1696</f>
        <v>3.48</v>
      </c>
      <c r="E1696">
        <v>5.24</v>
      </c>
      <c r="G1696">
        <f t="shared" si="32"/>
        <v>1.76</v>
      </c>
      <c r="H1696">
        <v>1.5</v>
      </c>
    </row>
    <row r="1697" spans="2:8">
      <c r="B1697" s="3">
        <v>45641</v>
      </c>
      <c r="C1697" t="s">
        <v>50</v>
      </c>
      <c r="D1697">
        <f>VLOOKUP(C1697,成本价!$C$2:$D$1000,2,0)*H1697</f>
        <v>2.749</v>
      </c>
      <c r="E1697">
        <v>10.39</v>
      </c>
      <c r="G1697">
        <f t="shared" si="32"/>
        <v>7.641</v>
      </c>
      <c r="H1697">
        <v>1</v>
      </c>
    </row>
    <row r="1698" spans="2:8">
      <c r="B1698" s="3">
        <v>45641</v>
      </c>
      <c r="C1698" t="s">
        <v>28</v>
      </c>
      <c r="D1698">
        <f>VLOOKUP(C1698,成本价!$C$2:$D$1000,2,0)*H1698</f>
        <v>2.22</v>
      </c>
      <c r="E1698">
        <v>7.43</v>
      </c>
      <c r="G1698">
        <f t="shared" si="32"/>
        <v>5.21</v>
      </c>
      <c r="H1698">
        <v>1</v>
      </c>
    </row>
    <row r="1699" spans="2:8">
      <c r="B1699" s="3">
        <v>45641</v>
      </c>
      <c r="C1699" t="s">
        <v>36</v>
      </c>
      <c r="D1699">
        <f>VLOOKUP(C1699,成本价!$C$2:$D$1000,2,0)*H1699</f>
        <v>10.44</v>
      </c>
      <c r="E1699">
        <f>6.65*3</f>
        <v>19.95</v>
      </c>
      <c r="G1699">
        <f t="shared" si="32"/>
        <v>9.51</v>
      </c>
      <c r="H1699">
        <v>4.5</v>
      </c>
    </row>
    <row r="1700" spans="2:8">
      <c r="B1700" s="3">
        <v>45641</v>
      </c>
      <c r="C1700" t="s">
        <v>37</v>
      </c>
      <c r="D1700">
        <f>VLOOKUP(C1700,成本价!$C$2:$D$1000,2,0)*H1700</f>
        <v>3.81</v>
      </c>
      <c r="E1700">
        <v>6.65</v>
      </c>
      <c r="G1700">
        <f t="shared" si="32"/>
        <v>2.84</v>
      </c>
      <c r="H1700">
        <v>1.5</v>
      </c>
    </row>
    <row r="1701" spans="9:9">
      <c r="I1701">
        <f>30+84.96</f>
        <v>114.96</v>
      </c>
    </row>
    <row r="1702" spans="2:8">
      <c r="B1702" s="29">
        <v>45642</v>
      </c>
      <c r="C1702" t="s">
        <v>40</v>
      </c>
      <c r="D1702">
        <f>VLOOKUP(C1702,成本价!$C$2:$D$1000,2,0)*H1702</f>
        <v>2.82</v>
      </c>
      <c r="E1702">
        <v>7.8</v>
      </c>
      <c r="F1702">
        <v>108.5</v>
      </c>
      <c r="G1702">
        <f t="shared" ref="G1702:G1767" si="33">E1702-D1702</f>
        <v>4.98</v>
      </c>
      <c r="H1702">
        <v>1.5</v>
      </c>
    </row>
    <row r="1703" spans="2:8">
      <c r="B1703" s="3">
        <v>45642</v>
      </c>
      <c r="C1703" t="s">
        <v>56</v>
      </c>
      <c r="D1703">
        <f>VLOOKUP(C1703,成本价!$C$2:$D$1000,2,0)*H1703</f>
        <v>3.483</v>
      </c>
      <c r="E1703">
        <v>13.55</v>
      </c>
      <c r="G1703">
        <f t="shared" si="33"/>
        <v>10.067</v>
      </c>
      <c r="H1703">
        <v>3</v>
      </c>
    </row>
    <row r="1704" spans="2:8">
      <c r="B1704" s="3">
        <v>45642</v>
      </c>
      <c r="C1704" t="s">
        <v>33</v>
      </c>
      <c r="D1704">
        <f>VLOOKUP(C1704,成本价!$C$2:$D$1000,2,0)*H1704</f>
        <v>7.65</v>
      </c>
      <c r="E1704">
        <f>6.78*3</f>
        <v>20.34</v>
      </c>
      <c r="G1704">
        <f t="shared" si="33"/>
        <v>12.69</v>
      </c>
      <c r="H1704">
        <v>4.5</v>
      </c>
    </row>
    <row r="1705" spans="2:8">
      <c r="B1705" s="3">
        <v>45642</v>
      </c>
      <c r="C1705" t="s">
        <v>27</v>
      </c>
      <c r="D1705">
        <f>VLOOKUP(C1705,成本价!$C$2:$D$1000,2,0)*H1705</f>
        <v>2.7</v>
      </c>
      <c r="E1705">
        <v>7.26</v>
      </c>
      <c r="G1705">
        <f t="shared" si="33"/>
        <v>4.56</v>
      </c>
      <c r="H1705">
        <v>1.5</v>
      </c>
    </row>
    <row r="1706" spans="2:8">
      <c r="B1706" s="3">
        <v>45642</v>
      </c>
      <c r="C1706" t="s">
        <v>50</v>
      </c>
      <c r="D1706">
        <f>VLOOKUP(C1706,成本价!$C$2:$D$1000,2,0)*H1706</f>
        <v>2.749</v>
      </c>
      <c r="E1706">
        <v>10.39</v>
      </c>
      <c r="G1706">
        <f t="shared" si="33"/>
        <v>7.641</v>
      </c>
      <c r="H1706">
        <v>1</v>
      </c>
    </row>
    <row r="1707" spans="2:8">
      <c r="B1707" s="3">
        <v>45642</v>
      </c>
      <c r="C1707" t="s">
        <v>79</v>
      </c>
      <c r="D1707">
        <f>VLOOKUP(C1707,成本价!$C$2:$D$1000,2,0)*H1707</f>
        <v>12.3</v>
      </c>
      <c r="E1707">
        <v>34.99</v>
      </c>
      <c r="G1707">
        <f t="shared" si="33"/>
        <v>22.69</v>
      </c>
      <c r="H1707">
        <v>1</v>
      </c>
    </row>
    <row r="1708" spans="2:8">
      <c r="B1708" s="3">
        <v>45642</v>
      </c>
      <c r="C1708" t="s">
        <v>90</v>
      </c>
      <c r="D1708">
        <f>VLOOKUP(C1708,成本价!$C$2:$D$1000,2,0)*H1708</f>
        <v>2.6</v>
      </c>
      <c r="G1708">
        <f t="shared" si="33"/>
        <v>-2.6</v>
      </c>
      <c r="H1708">
        <v>1</v>
      </c>
    </row>
    <row r="1709" spans="2:8">
      <c r="B1709" s="3">
        <v>45642</v>
      </c>
      <c r="C1709" t="s">
        <v>54</v>
      </c>
      <c r="D1709">
        <f>VLOOKUP(C1709,成本价!$C$2:$D$1000,2,0)*H1709</f>
        <v>14.7</v>
      </c>
      <c r="E1709">
        <v>28.49</v>
      </c>
      <c r="G1709">
        <f t="shared" si="33"/>
        <v>13.79</v>
      </c>
      <c r="H1709">
        <v>1</v>
      </c>
    </row>
    <row r="1710" spans="2:8">
      <c r="B1710" s="3">
        <v>45642</v>
      </c>
      <c r="C1710" t="s">
        <v>76</v>
      </c>
      <c r="D1710">
        <f>VLOOKUP(C1710,成本价!$C$2:$D$1000,2,0)*H1710</f>
        <v>1.7856</v>
      </c>
      <c r="E1710">
        <v>11.74</v>
      </c>
      <c r="G1710">
        <f t="shared" si="33"/>
        <v>9.9544</v>
      </c>
      <c r="H1710">
        <v>1</v>
      </c>
    </row>
    <row r="1711" spans="2:8">
      <c r="B1711" s="3">
        <v>45642</v>
      </c>
      <c r="C1711" t="s">
        <v>50</v>
      </c>
      <c r="D1711">
        <f>VLOOKUP(C1711,成本价!$C$2:$D$1000,2,0)*H1711</f>
        <v>2.749</v>
      </c>
      <c r="E1711">
        <v>10.39</v>
      </c>
      <c r="G1711">
        <f t="shared" si="33"/>
        <v>7.641</v>
      </c>
      <c r="H1711">
        <v>1</v>
      </c>
    </row>
    <row r="1712" spans="2:8">
      <c r="B1712" s="3">
        <v>45642</v>
      </c>
      <c r="C1712" t="s">
        <v>115</v>
      </c>
      <c r="D1712">
        <f>VLOOKUP(C1712,成本价!$C$2:$D$1000,2,0)*H1712</f>
        <v>5.92</v>
      </c>
      <c r="E1712">
        <v>19.01</v>
      </c>
      <c r="G1712">
        <f t="shared" si="33"/>
        <v>13.09</v>
      </c>
      <c r="H1712">
        <v>1</v>
      </c>
    </row>
    <row r="1713" spans="2:8">
      <c r="B1713" s="3">
        <v>45642</v>
      </c>
      <c r="C1713" t="s">
        <v>50</v>
      </c>
      <c r="D1713">
        <f>VLOOKUP(C1713,成本价!$C$2:$D$1000,2,0)*H1713</f>
        <v>2.749</v>
      </c>
      <c r="E1713">
        <v>10.39</v>
      </c>
      <c r="G1713">
        <f t="shared" si="33"/>
        <v>7.641</v>
      </c>
      <c r="H1713">
        <v>1</v>
      </c>
    </row>
    <row r="1714" spans="2:8">
      <c r="B1714" s="3">
        <v>45642</v>
      </c>
      <c r="C1714" t="s">
        <v>33</v>
      </c>
      <c r="D1714">
        <f>VLOOKUP(C1714,成本价!$C$2:$D$1000,2,0)*H1714</f>
        <v>2.55</v>
      </c>
      <c r="E1714">
        <v>5.25</v>
      </c>
      <c r="G1714">
        <f t="shared" si="33"/>
        <v>2.7</v>
      </c>
      <c r="H1714">
        <v>1.5</v>
      </c>
    </row>
    <row r="1715" spans="2:8">
      <c r="B1715" s="3">
        <v>45642</v>
      </c>
      <c r="C1715" t="s">
        <v>52</v>
      </c>
      <c r="D1715">
        <f>VLOOKUP(C1715,成本价!$C$2:$D$1000,2,0)*H1715</f>
        <v>10.96</v>
      </c>
      <c r="E1715">
        <v>30.28</v>
      </c>
      <c r="G1715">
        <f t="shared" si="33"/>
        <v>19.32</v>
      </c>
      <c r="H1715">
        <v>1</v>
      </c>
    </row>
    <row r="1716" spans="2:8">
      <c r="B1716" s="3">
        <v>45642</v>
      </c>
      <c r="C1716" t="s">
        <v>92</v>
      </c>
      <c r="D1716">
        <f>VLOOKUP(C1716,成本价!$C$2:$D$1000,2,0)*H1716</f>
        <v>3</v>
      </c>
      <c r="G1716">
        <f t="shared" si="33"/>
        <v>-3</v>
      </c>
      <c r="H1716">
        <v>1</v>
      </c>
    </row>
    <row r="1717" spans="2:8">
      <c r="B1717" s="3">
        <v>45642</v>
      </c>
      <c r="C1717" t="s">
        <v>87</v>
      </c>
      <c r="D1717">
        <f>VLOOKUP(C1717,成本价!$C$2:$D$1000,2,0)*H1717</f>
        <v>1.53</v>
      </c>
      <c r="E1717">
        <f>7.9+6.82</f>
        <v>14.72</v>
      </c>
      <c r="G1717">
        <f t="shared" si="33"/>
        <v>13.19</v>
      </c>
      <c r="H1717">
        <f>6+6</f>
        <v>12</v>
      </c>
    </row>
    <row r="1718" spans="2:8">
      <c r="B1718" s="3">
        <v>45642</v>
      </c>
      <c r="C1718" t="s">
        <v>88</v>
      </c>
      <c r="D1718">
        <f>VLOOKUP(C1718,成本价!$C$2:$D$1000,2,0)*H1718</f>
        <v>0.81</v>
      </c>
      <c r="G1718">
        <f t="shared" si="33"/>
        <v>-0.81</v>
      </c>
      <c r="H1718">
        <f>3+3</f>
        <v>6</v>
      </c>
    </row>
    <row r="1719" spans="2:8">
      <c r="B1719" s="3">
        <v>45642</v>
      </c>
      <c r="C1719" t="s">
        <v>109</v>
      </c>
      <c r="D1719">
        <f>VLOOKUP(C1719,成本价!$C$2:$D$1000,2,0)*H1719</f>
        <v>0</v>
      </c>
      <c r="G1719">
        <f t="shared" si="33"/>
        <v>0</v>
      </c>
      <c r="H1719">
        <v>0</v>
      </c>
    </row>
    <row r="1720" spans="2:8">
      <c r="B1720" s="3">
        <v>45642</v>
      </c>
      <c r="C1720" t="s">
        <v>92</v>
      </c>
      <c r="D1720">
        <f>VLOOKUP(C1720,成本价!$C$2:$D$1000,2,0)*H1720</f>
        <v>6</v>
      </c>
      <c r="E1720">
        <v>18.82</v>
      </c>
      <c r="G1720">
        <f t="shared" si="33"/>
        <v>12.82</v>
      </c>
      <c r="H1720">
        <v>2</v>
      </c>
    </row>
    <row r="1721" spans="2:8">
      <c r="B1721" s="3">
        <v>45642</v>
      </c>
      <c r="C1721" t="s">
        <v>33</v>
      </c>
      <c r="D1721">
        <f>VLOOKUP(C1721,成本价!$C$2:$D$1000,2,0)*H1721</f>
        <v>1.7</v>
      </c>
      <c r="E1721">
        <v>7.46</v>
      </c>
      <c r="G1721">
        <f t="shared" si="33"/>
        <v>5.76</v>
      </c>
      <c r="H1721">
        <v>1</v>
      </c>
    </row>
    <row r="1722" spans="2:8">
      <c r="B1722" s="3">
        <v>45642</v>
      </c>
      <c r="C1722" t="s">
        <v>33</v>
      </c>
      <c r="D1722">
        <f>VLOOKUP(C1722,成本价!$C$2:$D$1000,2,0)*H1722</f>
        <v>2.55</v>
      </c>
      <c r="E1722">
        <v>5.25</v>
      </c>
      <c r="G1722">
        <f t="shared" si="33"/>
        <v>2.7</v>
      </c>
      <c r="H1722">
        <v>1.5</v>
      </c>
    </row>
    <row r="1723" spans="2:8">
      <c r="B1723" s="3">
        <v>45642</v>
      </c>
      <c r="C1723" t="s">
        <v>40</v>
      </c>
      <c r="D1723">
        <f>VLOOKUP(C1723,成本价!$C$2:$D$1000,2,0)*H1723</f>
        <v>7.52</v>
      </c>
      <c r="E1723">
        <v>30.19</v>
      </c>
      <c r="G1723">
        <f t="shared" si="33"/>
        <v>22.67</v>
      </c>
      <c r="H1723">
        <v>4</v>
      </c>
    </row>
    <row r="1724" spans="2:8">
      <c r="B1724" s="3">
        <v>45642</v>
      </c>
      <c r="C1724" t="s">
        <v>43</v>
      </c>
      <c r="D1724">
        <f>VLOOKUP(C1724,成本价!$C$2:$D$1000,2,0)*H1724</f>
        <v>2.02</v>
      </c>
      <c r="G1724">
        <f t="shared" si="33"/>
        <v>-2.02</v>
      </c>
      <c r="H1724">
        <v>1</v>
      </c>
    </row>
    <row r="1725" spans="2:8">
      <c r="B1725" s="3">
        <v>45642</v>
      </c>
      <c r="C1725" t="s">
        <v>91</v>
      </c>
      <c r="D1725">
        <f>VLOOKUP(C1725,成本价!$C$2:$D$1000,2,0)*H1725</f>
        <v>3</v>
      </c>
      <c r="G1725">
        <f t="shared" si="33"/>
        <v>-3</v>
      </c>
      <c r="H1725">
        <v>1</v>
      </c>
    </row>
    <row r="1726" spans="2:8">
      <c r="B1726" s="3">
        <v>45642</v>
      </c>
      <c r="C1726" t="s">
        <v>50</v>
      </c>
      <c r="D1726">
        <f>VLOOKUP(C1726,成本价!$C$2:$D$1000,2,0)*H1726</f>
        <v>2.749</v>
      </c>
      <c r="E1726">
        <v>10.39</v>
      </c>
      <c r="G1726">
        <f t="shared" si="33"/>
        <v>7.641</v>
      </c>
      <c r="H1726">
        <v>1</v>
      </c>
    </row>
    <row r="1727" spans="2:8">
      <c r="B1727" s="3">
        <v>45642</v>
      </c>
      <c r="C1727" t="s">
        <v>49</v>
      </c>
      <c r="D1727">
        <f>VLOOKUP(C1727,成本价!$C$2:$D$1000,2,0)*H1727</f>
        <v>1.975</v>
      </c>
      <c r="E1727">
        <v>9.14</v>
      </c>
      <c r="G1727">
        <f t="shared" si="33"/>
        <v>7.165</v>
      </c>
      <c r="H1727">
        <v>1</v>
      </c>
    </row>
    <row r="1728" spans="9:9">
      <c r="I1728">
        <f>108.18+24.65</f>
        <v>132.83</v>
      </c>
    </row>
    <row r="1729" spans="2:8">
      <c r="B1729" s="29">
        <v>45643</v>
      </c>
      <c r="C1729" t="s">
        <v>64</v>
      </c>
      <c r="D1729">
        <f>VLOOKUP(C1729,成本价!$C$2:$D$1000,2,0)*H1729</f>
        <v>6.38</v>
      </c>
      <c r="E1729">
        <v>18.04</v>
      </c>
      <c r="F1729">
        <v>63</v>
      </c>
      <c r="G1729">
        <f t="shared" si="33"/>
        <v>11.66</v>
      </c>
      <c r="H1729">
        <v>1</v>
      </c>
    </row>
    <row r="1730" spans="2:8">
      <c r="B1730" s="3">
        <v>45643</v>
      </c>
      <c r="C1730" t="s">
        <v>49</v>
      </c>
      <c r="D1730">
        <f>VLOOKUP(C1730,成本价!$C$2:$D$1000,2,0)*H1730</f>
        <v>1.975</v>
      </c>
      <c r="E1730">
        <v>9.14</v>
      </c>
      <c r="G1730">
        <f t="shared" si="33"/>
        <v>7.165</v>
      </c>
      <c r="H1730">
        <v>1</v>
      </c>
    </row>
    <row r="1731" spans="2:8">
      <c r="B1731" s="3">
        <v>45643</v>
      </c>
      <c r="C1731" t="s">
        <v>63</v>
      </c>
      <c r="D1731">
        <f>VLOOKUP(C1731,成本价!$C$2:$D$1000,2,0)*H1731</f>
        <v>5.1</v>
      </c>
      <c r="E1731">
        <v>19.05</v>
      </c>
      <c r="G1731">
        <f t="shared" si="33"/>
        <v>13.95</v>
      </c>
      <c r="H1731">
        <v>1</v>
      </c>
    </row>
    <row r="1732" spans="2:8">
      <c r="B1732" s="3">
        <v>45643</v>
      </c>
      <c r="C1732" t="s">
        <v>33</v>
      </c>
      <c r="D1732">
        <f>VLOOKUP(C1732,成本价!$C$2:$D$1000,2,0)*H1732</f>
        <v>0.85</v>
      </c>
      <c r="E1732">
        <f>5.14+5.14</f>
        <v>10.28</v>
      </c>
      <c r="G1732">
        <f t="shared" si="33"/>
        <v>9.43</v>
      </c>
      <c r="H1732">
        <f>1/2</f>
        <v>0.5</v>
      </c>
    </row>
    <row r="1733" spans="2:8">
      <c r="B1733" s="3">
        <v>45643</v>
      </c>
      <c r="C1733" t="s">
        <v>33</v>
      </c>
      <c r="D1733">
        <f>VLOOKUP(C1733,成本价!$C$2:$D$1000,2,0)*H1733</f>
        <v>2.55</v>
      </c>
      <c r="E1733">
        <v>5.24</v>
      </c>
      <c r="G1733">
        <f t="shared" si="33"/>
        <v>2.69</v>
      </c>
      <c r="H1733">
        <v>1.5</v>
      </c>
    </row>
    <row r="1734" spans="2:8">
      <c r="B1734" s="3">
        <v>45643</v>
      </c>
      <c r="C1734" t="s">
        <v>49</v>
      </c>
      <c r="D1734">
        <f>VLOOKUP(C1734,成本价!$C$2:$D$1000,2,0)*H1734</f>
        <v>1.975</v>
      </c>
      <c r="E1734">
        <v>9.14</v>
      </c>
      <c r="G1734">
        <f t="shared" si="33"/>
        <v>7.165</v>
      </c>
      <c r="H1734">
        <v>1</v>
      </c>
    </row>
    <row r="1735" spans="2:8">
      <c r="B1735" s="3">
        <v>45643</v>
      </c>
      <c r="C1735" t="s">
        <v>27</v>
      </c>
      <c r="D1735">
        <f>VLOOKUP(C1735,成本价!$C$2:$D$1000,2,0)*H1735</f>
        <v>2.7</v>
      </c>
      <c r="E1735">
        <v>5.84</v>
      </c>
      <c r="G1735">
        <f t="shared" si="33"/>
        <v>3.14</v>
      </c>
      <c r="H1735">
        <v>1.5</v>
      </c>
    </row>
    <row r="1736" spans="2:8">
      <c r="B1736" s="3">
        <v>45643</v>
      </c>
      <c r="C1736" t="s">
        <v>50</v>
      </c>
      <c r="D1736">
        <f>VLOOKUP(C1736,成本价!$C$2:$D$1000,2,0)*H1736</f>
        <v>2.749</v>
      </c>
      <c r="E1736">
        <v>10.39</v>
      </c>
      <c r="G1736">
        <f t="shared" si="33"/>
        <v>7.641</v>
      </c>
      <c r="H1736">
        <v>1</v>
      </c>
    </row>
    <row r="1737" spans="2:8">
      <c r="B1737" s="3">
        <v>45643</v>
      </c>
      <c r="C1737" t="s">
        <v>33</v>
      </c>
      <c r="D1737">
        <f>VLOOKUP(C1737,成本价!$C$2:$D$1000,2,0)*H1737</f>
        <v>5.1</v>
      </c>
      <c r="E1737">
        <f>7.24+5.24</f>
        <v>12.48</v>
      </c>
      <c r="G1737">
        <f t="shared" si="33"/>
        <v>7.38</v>
      </c>
      <c r="H1737">
        <v>3</v>
      </c>
    </row>
    <row r="1738" spans="2:8">
      <c r="B1738" s="3">
        <v>45643</v>
      </c>
      <c r="C1738" t="s">
        <v>56</v>
      </c>
      <c r="D1738">
        <f>VLOOKUP(C1738,成本价!$C$2:$D$1000,2,0)*H1738</f>
        <v>3.483</v>
      </c>
      <c r="E1738">
        <v>13.55</v>
      </c>
      <c r="G1738">
        <f t="shared" si="33"/>
        <v>10.067</v>
      </c>
      <c r="H1738">
        <v>3</v>
      </c>
    </row>
    <row r="1739" spans="2:8">
      <c r="B1739" s="3">
        <v>45643</v>
      </c>
      <c r="C1739" t="s">
        <v>33</v>
      </c>
      <c r="D1739">
        <f>VLOOKUP(C1739,成本价!$C$2:$D$1000,2,0)*H1739</f>
        <v>1.7</v>
      </c>
      <c r="E1739">
        <v>7.39</v>
      </c>
      <c r="G1739">
        <f t="shared" si="33"/>
        <v>5.69</v>
      </c>
      <c r="H1739">
        <v>1</v>
      </c>
    </row>
    <row r="1740" spans="2:8">
      <c r="B1740" s="3">
        <v>45643</v>
      </c>
      <c r="C1740" t="s">
        <v>76</v>
      </c>
      <c r="D1740">
        <f>VLOOKUP(C1740,成本价!$C$2:$D$1000,2,0)*H1740</f>
        <v>1.7856</v>
      </c>
      <c r="E1740">
        <v>12.42</v>
      </c>
      <c r="G1740">
        <f t="shared" si="33"/>
        <v>10.6344</v>
      </c>
      <c r="H1740">
        <v>1</v>
      </c>
    </row>
    <row r="1741" spans="2:8">
      <c r="B1741" s="3">
        <v>45643</v>
      </c>
      <c r="C1741" t="s">
        <v>87</v>
      </c>
      <c r="D1741">
        <f>VLOOKUP(C1741,成本价!$C$2:$D$1000,2,0)*H1741</f>
        <v>0.1275</v>
      </c>
      <c r="G1741">
        <f t="shared" si="33"/>
        <v>-0.1275</v>
      </c>
      <c r="H1741">
        <v>1</v>
      </c>
    </row>
    <row r="1742" spans="2:8">
      <c r="B1742" s="3">
        <v>45643</v>
      </c>
      <c r="C1742" t="s">
        <v>88</v>
      </c>
      <c r="D1742">
        <f>VLOOKUP(C1742,成本价!$C$2:$D$1000,2,0)*H1742</f>
        <v>3.24</v>
      </c>
      <c r="E1742">
        <f>14.26</f>
        <v>14.26</v>
      </c>
      <c r="G1742">
        <f t="shared" si="33"/>
        <v>11.02</v>
      </c>
      <c r="H1742">
        <f>24</f>
        <v>24</v>
      </c>
    </row>
    <row r="1743" spans="2:8">
      <c r="B1743" s="3">
        <v>45643</v>
      </c>
      <c r="C1743" t="s">
        <v>50</v>
      </c>
      <c r="D1743">
        <f>VLOOKUP(C1743,成本价!$C$2:$D$1000,2,0)*H1743</f>
        <v>2.749</v>
      </c>
      <c r="E1743">
        <v>10.39</v>
      </c>
      <c r="G1743">
        <f t="shared" si="33"/>
        <v>7.641</v>
      </c>
      <c r="H1743">
        <v>1</v>
      </c>
    </row>
    <row r="1744" spans="2:8">
      <c r="B1744" s="3">
        <v>45643</v>
      </c>
      <c r="C1744" t="s">
        <v>40</v>
      </c>
      <c r="D1744">
        <f>VLOOKUP(C1744,成本价!$C$2:$D$1000,2,0)*H1744</f>
        <v>3.76</v>
      </c>
      <c r="E1744">
        <f>7.55+7.62</f>
        <v>15.17</v>
      </c>
      <c r="G1744">
        <f t="shared" si="33"/>
        <v>11.41</v>
      </c>
      <c r="H1744">
        <v>2</v>
      </c>
    </row>
    <row r="1745" spans="2:8">
      <c r="B1745" s="3">
        <v>45643</v>
      </c>
      <c r="C1745" t="s">
        <v>43</v>
      </c>
      <c r="D1745">
        <f>VLOOKUP(C1745,成本价!$C$2:$D$1000,2,0)*H1745</f>
        <v>2.02</v>
      </c>
      <c r="E1745">
        <v>7.63</v>
      </c>
      <c r="G1745">
        <f t="shared" si="33"/>
        <v>5.61</v>
      </c>
      <c r="H1745">
        <v>1</v>
      </c>
    </row>
    <row r="1746" spans="2:8">
      <c r="B1746" s="3">
        <v>45643</v>
      </c>
      <c r="C1746" t="s">
        <v>109</v>
      </c>
      <c r="D1746">
        <f>VLOOKUP(C1746,成本价!$C$2:$D$1000,2,0)*H1746</f>
        <v>0.9225</v>
      </c>
      <c r="E1746">
        <v>6.82</v>
      </c>
      <c r="G1746">
        <f t="shared" si="33"/>
        <v>5.8975</v>
      </c>
      <c r="H1746">
        <v>1</v>
      </c>
    </row>
    <row r="1747" spans="2:8">
      <c r="B1747" s="3">
        <v>45643</v>
      </c>
      <c r="C1747" t="s">
        <v>37</v>
      </c>
      <c r="D1747">
        <f>VLOOKUP(C1747,成本价!$C$2:$D$1000,2,0)*H1747</f>
        <v>2.54</v>
      </c>
      <c r="E1747">
        <v>8.4</v>
      </c>
      <c r="G1747">
        <f t="shared" si="33"/>
        <v>5.86</v>
      </c>
      <c r="H1747">
        <v>1</v>
      </c>
    </row>
    <row r="1748" spans="2:8">
      <c r="B1748" s="3">
        <v>45643</v>
      </c>
      <c r="C1748" t="s">
        <v>93</v>
      </c>
      <c r="D1748">
        <f>VLOOKUP(C1748,成本价!$C$2:$D$1000,2,0)*H1748</f>
        <v>4.77</v>
      </c>
      <c r="E1748">
        <v>13.54</v>
      </c>
      <c r="G1748">
        <f t="shared" si="33"/>
        <v>8.77</v>
      </c>
      <c r="H1748">
        <v>1</v>
      </c>
    </row>
    <row r="1749" spans="2:8">
      <c r="B1749" s="3">
        <v>45643</v>
      </c>
      <c r="C1749" t="s">
        <v>50</v>
      </c>
      <c r="D1749">
        <f>VLOOKUP(C1749,成本价!$C$2:$D$1000,2,0)*H1749</f>
        <v>2.749</v>
      </c>
      <c r="E1749">
        <v>10.39</v>
      </c>
      <c r="G1749">
        <f t="shared" si="33"/>
        <v>7.641</v>
      </c>
      <c r="H1749">
        <v>1</v>
      </c>
    </row>
    <row r="1750" spans="2:8">
      <c r="B1750" s="3">
        <v>45643</v>
      </c>
      <c r="C1750" t="s">
        <v>33</v>
      </c>
      <c r="D1750">
        <f>VLOOKUP(C1750,成本价!$C$2:$D$1000,2,0)*H1750</f>
        <v>2.55</v>
      </c>
      <c r="E1750">
        <v>5.25</v>
      </c>
      <c r="G1750">
        <f t="shared" si="33"/>
        <v>2.7</v>
      </c>
      <c r="H1750">
        <v>1.5</v>
      </c>
    </row>
    <row r="1751" spans="2:8">
      <c r="B1751" s="3">
        <v>45643</v>
      </c>
      <c r="C1751" t="s">
        <v>54</v>
      </c>
      <c r="D1751">
        <f>VLOOKUP(C1751,成本价!$C$2:$D$1000,2,0)*H1751</f>
        <v>14.7</v>
      </c>
      <c r="E1751">
        <v>28.84</v>
      </c>
      <c r="G1751">
        <f t="shared" si="33"/>
        <v>14.14</v>
      </c>
      <c r="H1751">
        <v>1</v>
      </c>
    </row>
    <row r="1752" spans="2:8">
      <c r="B1752" s="3">
        <v>45643</v>
      </c>
      <c r="C1752" t="s">
        <v>33</v>
      </c>
      <c r="D1752">
        <f>VLOOKUP(C1752,成本价!$C$2:$D$1000,2,0)*H1752</f>
        <v>1.7</v>
      </c>
      <c r="E1752">
        <v>7.39</v>
      </c>
      <c r="G1752">
        <f t="shared" si="33"/>
        <v>5.69</v>
      </c>
      <c r="H1752">
        <v>1</v>
      </c>
    </row>
    <row r="1753" spans="2:8">
      <c r="B1753" s="3">
        <v>45643</v>
      </c>
      <c r="C1753" t="s">
        <v>33</v>
      </c>
      <c r="D1753">
        <f>VLOOKUP(C1753,成本价!$C$2:$D$1000,2,0)*H1753</f>
        <v>3.4</v>
      </c>
      <c r="E1753">
        <v>28.79</v>
      </c>
      <c r="G1753">
        <f t="shared" si="33"/>
        <v>25.39</v>
      </c>
      <c r="H1753">
        <v>2</v>
      </c>
    </row>
    <row r="1754" spans="2:8">
      <c r="B1754" s="3">
        <v>45643</v>
      </c>
      <c r="C1754" t="s">
        <v>27</v>
      </c>
      <c r="D1754">
        <f>VLOOKUP(C1754,成本价!$C$2:$D$1000,2,0)*H1754</f>
        <v>5.4</v>
      </c>
      <c r="G1754">
        <f t="shared" si="33"/>
        <v>-5.4</v>
      </c>
      <c r="H1754">
        <v>3</v>
      </c>
    </row>
    <row r="1755" spans="2:8">
      <c r="B1755" s="3">
        <v>45643</v>
      </c>
      <c r="C1755" t="s">
        <v>90</v>
      </c>
      <c r="D1755">
        <f>VLOOKUP(C1755,成本价!$C$2:$D$1000,2,0)*H1755</f>
        <v>2.6</v>
      </c>
      <c r="G1755">
        <f t="shared" si="33"/>
        <v>-2.6</v>
      </c>
      <c r="H1755">
        <v>1</v>
      </c>
    </row>
    <row r="1756" spans="2:8">
      <c r="B1756" s="3">
        <v>45643</v>
      </c>
      <c r="C1756" t="s">
        <v>55</v>
      </c>
      <c r="D1756">
        <f>VLOOKUP(C1756,成本价!$C$2:$D$1000,2,0)*H1756</f>
        <v>3.513</v>
      </c>
      <c r="E1756">
        <v>13.55</v>
      </c>
      <c r="G1756">
        <f t="shared" si="33"/>
        <v>10.037</v>
      </c>
      <c r="H1756">
        <v>3</v>
      </c>
    </row>
    <row r="1757" spans="2:8">
      <c r="B1757" s="3">
        <v>45643</v>
      </c>
      <c r="C1757" t="s">
        <v>16</v>
      </c>
      <c r="D1757">
        <f>VLOOKUP(C1757,成本价!$C$2:$D$1000,2,0)*H1757</f>
        <v>10.8</v>
      </c>
      <c r="E1757">
        <v>39.76</v>
      </c>
      <c r="G1757">
        <f t="shared" si="33"/>
        <v>28.96</v>
      </c>
      <c r="H1757">
        <v>4</v>
      </c>
    </row>
    <row r="1758" spans="2:8">
      <c r="B1758" s="3">
        <v>45643</v>
      </c>
      <c r="C1758" t="s">
        <v>20</v>
      </c>
      <c r="D1758">
        <f>VLOOKUP(C1758,成本价!$C$2:$D$1000,2,0)*H1758</f>
        <v>9</v>
      </c>
      <c r="G1758">
        <f t="shared" si="33"/>
        <v>-9</v>
      </c>
      <c r="H1758">
        <v>3</v>
      </c>
    </row>
    <row r="1759" spans="2:8">
      <c r="B1759" s="3">
        <v>45643</v>
      </c>
      <c r="C1759" t="s">
        <v>27</v>
      </c>
      <c r="D1759">
        <f>VLOOKUP(C1759,成本价!$C$2:$D$1000,2,0)*H1759</f>
        <v>3.6</v>
      </c>
      <c r="E1759">
        <f>7.39*2</f>
        <v>14.78</v>
      </c>
      <c r="G1759">
        <f t="shared" si="33"/>
        <v>11.18</v>
      </c>
      <c r="H1759">
        <v>2</v>
      </c>
    </row>
    <row r="1760" spans="2:8">
      <c r="B1760" s="3">
        <v>45643</v>
      </c>
      <c r="C1760" t="s">
        <v>33</v>
      </c>
      <c r="D1760">
        <f>VLOOKUP(C1760,成本价!$C$2:$D$1000,2,0)*H1760</f>
        <v>2.55</v>
      </c>
      <c r="E1760">
        <v>5.25</v>
      </c>
      <c r="G1760">
        <f t="shared" si="33"/>
        <v>2.7</v>
      </c>
      <c r="H1760">
        <v>1.5</v>
      </c>
    </row>
    <row r="1761" spans="2:10">
      <c r="B1761" s="3">
        <v>45643</v>
      </c>
      <c r="C1761" t="s">
        <v>76</v>
      </c>
      <c r="D1761">
        <f>VLOOKUP(C1761,成本价!$C$2:$D$1000,2,0)*H1761</f>
        <v>1.7856</v>
      </c>
      <c r="E1761">
        <v>49</v>
      </c>
      <c r="G1761">
        <f t="shared" si="33"/>
        <v>47.2144</v>
      </c>
      <c r="H1761">
        <v>1</v>
      </c>
      <c r="J1761" s="2" t="s">
        <v>74</v>
      </c>
    </row>
    <row r="1762" spans="2:10">
      <c r="B1762" s="3">
        <v>45643</v>
      </c>
      <c r="C1762" t="s">
        <v>69</v>
      </c>
      <c r="D1762">
        <f>VLOOKUP(C1762,成本价!$C$2:$D$1000,2,0)*H1762</f>
        <v>17.12</v>
      </c>
      <c r="G1762">
        <f t="shared" si="33"/>
        <v>-17.12</v>
      </c>
      <c r="H1762">
        <v>1</v>
      </c>
      <c r="J1762" s="2" t="s">
        <v>74</v>
      </c>
    </row>
    <row r="1763" spans="2:8">
      <c r="B1763" s="3">
        <v>45643</v>
      </c>
      <c r="C1763" t="s">
        <v>112</v>
      </c>
      <c r="D1763">
        <f>VLOOKUP(C1763,成本价!$C$2:$D$1000,2,0)*H1763</f>
        <v>3.3</v>
      </c>
      <c r="G1763">
        <f t="shared" si="33"/>
        <v>-3.3</v>
      </c>
      <c r="H1763">
        <v>1</v>
      </c>
    </row>
    <row r="1764" spans="2:11">
      <c r="B1764" s="3">
        <v>45643</v>
      </c>
      <c r="C1764" t="s">
        <v>36</v>
      </c>
      <c r="D1764">
        <f>VLOOKUP(C1764,成本价!$C$2:$D$1000,2,0)*H1764</f>
        <v>2.32</v>
      </c>
      <c r="E1764">
        <v>15.92</v>
      </c>
      <c r="G1764">
        <f t="shared" si="33"/>
        <v>13.6</v>
      </c>
      <c r="H1764">
        <v>1</v>
      </c>
      <c r="K1764" s="2"/>
    </row>
    <row r="1765" spans="2:8">
      <c r="B1765" s="3">
        <v>45643</v>
      </c>
      <c r="C1765" t="s">
        <v>37</v>
      </c>
      <c r="D1765">
        <f>VLOOKUP(C1765,成本价!$C$2:$D$1000,2,0)*H1765</f>
        <v>2.54</v>
      </c>
      <c r="G1765">
        <f t="shared" si="33"/>
        <v>-2.54</v>
      </c>
      <c r="H1765">
        <v>1</v>
      </c>
    </row>
    <row r="1766" spans="9:9">
      <c r="I1766">
        <f>101.03+33.25</f>
        <v>134.28</v>
      </c>
    </row>
    <row r="1767" spans="2:8">
      <c r="B1767" s="29">
        <v>45644</v>
      </c>
      <c r="C1767" t="s">
        <v>23</v>
      </c>
      <c r="D1767">
        <f>VLOOKUP(C1767,成本价!$C$2:$D$1000,2,0)*H1767</f>
        <v>3.12</v>
      </c>
      <c r="E1767">
        <v>7.78</v>
      </c>
      <c r="F1767">
        <v>105</v>
      </c>
      <c r="G1767">
        <f t="shared" si="33"/>
        <v>4.66</v>
      </c>
      <c r="H1767">
        <v>1.5</v>
      </c>
    </row>
    <row r="1768" spans="2:8">
      <c r="B1768" s="3">
        <v>45644</v>
      </c>
      <c r="C1768" t="s">
        <v>63</v>
      </c>
      <c r="D1768">
        <f>VLOOKUP(C1768,成本价!$C$2:$D$1000,2,0)*H1768</f>
        <v>5.1</v>
      </c>
      <c r="E1768">
        <v>19.05</v>
      </c>
      <c r="G1768">
        <f t="shared" ref="G1768:G1831" si="34">E1768-D1768</f>
        <v>13.95</v>
      </c>
      <c r="H1768">
        <v>1</v>
      </c>
    </row>
    <row r="1769" spans="2:8">
      <c r="B1769" s="3">
        <v>45644</v>
      </c>
      <c r="C1769" t="s">
        <v>50</v>
      </c>
      <c r="D1769">
        <f>VLOOKUP(C1769,成本价!$C$2:$D$1000,2,0)*H1769</f>
        <v>2.749</v>
      </c>
      <c r="E1769">
        <v>11.64</v>
      </c>
      <c r="G1769">
        <f t="shared" si="34"/>
        <v>8.891</v>
      </c>
      <c r="H1769">
        <v>1</v>
      </c>
    </row>
    <row r="1770" spans="2:8">
      <c r="B1770" s="3">
        <v>45644</v>
      </c>
      <c r="C1770" t="s">
        <v>61</v>
      </c>
      <c r="D1770">
        <f>VLOOKUP(C1770,成本价!$C$2:$D$1000,2,0)*H1770</f>
        <v>20.1</v>
      </c>
      <c r="E1770">
        <v>39.37</v>
      </c>
      <c r="G1770">
        <f t="shared" si="34"/>
        <v>19.27</v>
      </c>
      <c r="H1770">
        <v>1</v>
      </c>
    </row>
    <row r="1771" spans="2:8">
      <c r="B1771" s="3">
        <v>45644</v>
      </c>
      <c r="C1771" t="s">
        <v>33</v>
      </c>
      <c r="D1771">
        <f>VLOOKUP(C1771,成本价!$C$2:$D$1000,2,0)*H1771</f>
        <v>2.55</v>
      </c>
      <c r="E1771">
        <v>5.24</v>
      </c>
      <c r="G1771">
        <f t="shared" si="34"/>
        <v>2.69</v>
      </c>
      <c r="H1771">
        <v>1.5</v>
      </c>
    </row>
    <row r="1772" spans="2:8">
      <c r="B1772" s="3">
        <v>45644</v>
      </c>
      <c r="C1772" t="s">
        <v>87</v>
      </c>
      <c r="D1772">
        <f>VLOOKUP(C1772,成本价!$C$2:$D$1000,2,0)*H1772</f>
        <v>5.2275</v>
      </c>
      <c r="E1772">
        <f>7.91+13.8+7.91+6.82</f>
        <v>36.44</v>
      </c>
      <c r="G1772">
        <f t="shared" si="34"/>
        <v>31.2125</v>
      </c>
      <c r="H1772">
        <f>3+5+10+5+9+9</f>
        <v>41</v>
      </c>
    </row>
    <row r="1773" spans="2:8">
      <c r="B1773" s="3">
        <v>45644</v>
      </c>
      <c r="C1773" t="s">
        <v>88</v>
      </c>
      <c r="D1773">
        <f>VLOOKUP(C1773,成本价!$C$2:$D$1000,2,0)*H1773</f>
        <v>4.05</v>
      </c>
      <c r="E1773">
        <f>6.82+6.82</f>
        <v>13.64</v>
      </c>
      <c r="G1773">
        <f t="shared" si="34"/>
        <v>9.59</v>
      </c>
      <c r="H1773">
        <f>9+9+3+9</f>
        <v>30</v>
      </c>
    </row>
    <row r="1774" spans="2:7">
      <c r="B1774" s="3">
        <v>45644</v>
      </c>
      <c r="C1774" t="s">
        <v>109</v>
      </c>
      <c r="D1774">
        <f>VLOOKUP(C1774,成本价!$C$2:$D$1000,2,0)*H1774</f>
        <v>0</v>
      </c>
      <c r="G1774">
        <f t="shared" si="34"/>
        <v>0</v>
      </c>
    </row>
    <row r="1775" spans="2:8">
      <c r="B1775" s="3">
        <v>45644</v>
      </c>
      <c r="C1775" t="s">
        <v>37</v>
      </c>
      <c r="D1775">
        <f>VLOOKUP(C1775,成本价!$C$2:$D$1000,2,0)*H1775</f>
        <v>3.81</v>
      </c>
      <c r="E1775">
        <v>5.09</v>
      </c>
      <c r="G1775">
        <f t="shared" si="34"/>
        <v>1.28</v>
      </c>
      <c r="H1775">
        <v>1.5</v>
      </c>
    </row>
    <row r="1776" spans="2:8">
      <c r="B1776" s="3">
        <v>45644</v>
      </c>
      <c r="C1776" t="s">
        <v>76</v>
      </c>
      <c r="D1776">
        <f>VLOOKUP(C1776,成本价!$C$2:$D$1000,2,0)*H1776</f>
        <v>3.5712</v>
      </c>
      <c r="E1776">
        <v>23.84</v>
      </c>
      <c r="G1776">
        <f t="shared" si="34"/>
        <v>20.2688</v>
      </c>
      <c r="H1776">
        <v>2</v>
      </c>
    </row>
    <row r="1777" spans="2:8">
      <c r="B1777" s="3">
        <v>45644</v>
      </c>
      <c r="C1777" t="s">
        <v>81</v>
      </c>
      <c r="D1777">
        <f>VLOOKUP(C1777,成本价!$C$2:$D$1000,2,0)*H1777</f>
        <v>5.64</v>
      </c>
      <c r="E1777">
        <v>18.56</v>
      </c>
      <c r="G1777">
        <f t="shared" si="34"/>
        <v>12.92</v>
      </c>
      <c r="H1777">
        <v>1</v>
      </c>
    </row>
    <row r="1778" spans="2:8">
      <c r="B1778" s="3">
        <v>45644</v>
      </c>
      <c r="C1778" t="s">
        <v>59</v>
      </c>
      <c r="D1778">
        <f>VLOOKUP(C1778,成本价!$C$2:$D$1000,2,0)*H1778</f>
        <v>8.7</v>
      </c>
      <c r="E1778">
        <v>28.79</v>
      </c>
      <c r="G1778">
        <f t="shared" si="34"/>
        <v>20.09</v>
      </c>
      <c r="H1778">
        <v>1</v>
      </c>
    </row>
    <row r="1779" spans="2:8">
      <c r="B1779" s="3">
        <v>45644</v>
      </c>
      <c r="C1779" t="s">
        <v>90</v>
      </c>
      <c r="D1779">
        <f>VLOOKUP(C1779,成本价!$C$2:$D$1000,2,0)*H1779</f>
        <v>2.6</v>
      </c>
      <c r="G1779">
        <f t="shared" si="34"/>
        <v>-2.6</v>
      </c>
      <c r="H1779">
        <v>1</v>
      </c>
    </row>
    <row r="1780" spans="2:8">
      <c r="B1780" s="3">
        <v>45644</v>
      </c>
      <c r="C1780" t="s">
        <v>33</v>
      </c>
      <c r="D1780">
        <f>VLOOKUP(C1780,成本价!$C$2:$D$1000,2,0)*H1780</f>
        <v>2.55</v>
      </c>
      <c r="E1780">
        <v>5.24</v>
      </c>
      <c r="G1780">
        <f t="shared" si="34"/>
        <v>2.69</v>
      </c>
      <c r="H1780">
        <v>1.5</v>
      </c>
    </row>
    <row r="1781" spans="2:8">
      <c r="B1781" s="3">
        <v>45644</v>
      </c>
      <c r="C1781" t="s">
        <v>56</v>
      </c>
      <c r="D1781">
        <f>VLOOKUP(C1781,成本价!$C$2:$D$1000,2,0)*H1781</f>
        <v>3.483</v>
      </c>
      <c r="E1781">
        <v>13.37</v>
      </c>
      <c r="G1781">
        <f t="shared" si="34"/>
        <v>9.887</v>
      </c>
      <c r="H1781">
        <v>3</v>
      </c>
    </row>
    <row r="1782" spans="2:8">
      <c r="B1782" s="3">
        <v>45644</v>
      </c>
      <c r="C1782" t="s">
        <v>58</v>
      </c>
      <c r="D1782">
        <f>VLOOKUP(C1782,成本价!$C$2:$D$1000,2,0)*H1782</f>
        <v>8.4</v>
      </c>
      <c r="E1782">
        <v>20.24</v>
      </c>
      <c r="G1782">
        <f t="shared" si="34"/>
        <v>11.84</v>
      </c>
      <c r="H1782">
        <v>1</v>
      </c>
    </row>
    <row r="1783" spans="2:8">
      <c r="B1783" s="3">
        <v>45644</v>
      </c>
      <c r="C1783" t="s">
        <v>71</v>
      </c>
      <c r="D1783">
        <f>VLOOKUP(C1783,成本价!$C$2:$D$1000,2,0)*H1783</f>
        <v>3.573</v>
      </c>
      <c r="E1783">
        <v>13.5</v>
      </c>
      <c r="G1783">
        <f t="shared" si="34"/>
        <v>9.927</v>
      </c>
      <c r="H1783">
        <v>3</v>
      </c>
    </row>
    <row r="1784" spans="2:8">
      <c r="B1784" s="3">
        <v>45644</v>
      </c>
      <c r="C1784" t="s">
        <v>55</v>
      </c>
      <c r="D1784">
        <f>VLOOKUP(C1784,成本价!$C$2:$D$1000,2,0)*H1784</f>
        <v>3.513</v>
      </c>
      <c r="E1784">
        <v>13.4</v>
      </c>
      <c r="G1784">
        <f t="shared" si="34"/>
        <v>9.887</v>
      </c>
      <c r="H1784">
        <v>3</v>
      </c>
    </row>
    <row r="1785" spans="2:8">
      <c r="B1785" s="3">
        <v>45644</v>
      </c>
      <c r="C1785" t="s">
        <v>67</v>
      </c>
      <c r="D1785">
        <f>VLOOKUP(C1785,成本价!$C$2:$D$1000,2,0)*H1785</f>
        <v>6.52</v>
      </c>
      <c r="E1785">
        <v>19.98</v>
      </c>
      <c r="G1785">
        <f t="shared" si="34"/>
        <v>13.46</v>
      </c>
      <c r="H1785">
        <v>1</v>
      </c>
    </row>
    <row r="1786" spans="2:8">
      <c r="B1786" s="3">
        <v>45644</v>
      </c>
      <c r="C1786" t="s">
        <v>33</v>
      </c>
      <c r="D1786">
        <f>VLOOKUP(C1786,成本价!$C$2:$D$1000,2,0)*H1786</f>
        <v>0.255</v>
      </c>
      <c r="E1786">
        <v>4.5</v>
      </c>
      <c r="G1786">
        <f t="shared" si="34"/>
        <v>4.245</v>
      </c>
      <c r="H1786" s="2">
        <f>1/20*3</f>
        <v>0.15</v>
      </c>
    </row>
    <row r="1787" spans="2:10">
      <c r="B1787" s="3">
        <v>45644</v>
      </c>
      <c r="C1787" t="s">
        <v>79</v>
      </c>
      <c r="D1787">
        <f>VLOOKUP(C1787,成本价!$C$2:$D$1000,2,0)*H1787</f>
        <v>12.3</v>
      </c>
      <c r="E1787">
        <v>30.24</v>
      </c>
      <c r="G1787">
        <f t="shared" si="34"/>
        <v>17.94</v>
      </c>
      <c r="H1787" s="2">
        <v>1</v>
      </c>
      <c r="J1787" s="2" t="s">
        <v>74</v>
      </c>
    </row>
    <row r="1788" spans="2:10">
      <c r="B1788" s="3">
        <v>45644</v>
      </c>
      <c r="C1788" t="s">
        <v>90</v>
      </c>
      <c r="D1788">
        <f>VLOOKUP(C1788,成本价!$C$2:$D$1000,2,0)*H1788</f>
        <v>2.6</v>
      </c>
      <c r="G1788">
        <f t="shared" si="34"/>
        <v>-2.6</v>
      </c>
      <c r="H1788" s="2">
        <v>1</v>
      </c>
      <c r="J1788" s="2" t="s">
        <v>74</v>
      </c>
    </row>
    <row r="1789" spans="9:9">
      <c r="I1789">
        <f>101.03+35.21</f>
        <v>136.24</v>
      </c>
    </row>
    <row r="1790" spans="2:8">
      <c r="B1790" s="29">
        <v>45645</v>
      </c>
      <c r="C1790" t="s">
        <v>87</v>
      </c>
      <c r="D1790">
        <f>VLOOKUP(C1790,成本价!$C$2:$D$1000,2,0)*H1790</f>
        <v>6.7575</v>
      </c>
      <c r="E1790">
        <f>7.91+6.82+23.68+13.8+7.91+7.91+21.83</f>
        <v>89.86</v>
      </c>
      <c r="F1790">
        <v>80.5</v>
      </c>
      <c r="G1790">
        <f t="shared" si="34"/>
        <v>83.1025</v>
      </c>
      <c r="H1790">
        <f>9+9+8+8+4+3+9+3</f>
        <v>53</v>
      </c>
    </row>
    <row r="1791" spans="2:8">
      <c r="B1791" s="3">
        <v>45645</v>
      </c>
      <c r="C1791" t="s">
        <v>88</v>
      </c>
      <c r="D1791">
        <f>VLOOKUP(C1791,成本价!$C$2:$D$1000,2,0)*H1791</f>
        <v>8.235</v>
      </c>
      <c r="G1791">
        <f t="shared" si="34"/>
        <v>-8.235</v>
      </c>
      <c r="H1791">
        <f>3+12+12+16+9+3+6</f>
        <v>61</v>
      </c>
    </row>
    <row r="1792" spans="2:8">
      <c r="B1792" s="3">
        <v>45645</v>
      </c>
      <c r="C1792" t="s">
        <v>109</v>
      </c>
      <c r="D1792">
        <f>VLOOKUP(C1792,成本价!$C$2:$D$1000,2,0)*H1792</f>
        <v>2.7675</v>
      </c>
      <c r="E1792">
        <f>6.82+6.82+6.82</f>
        <v>20.46</v>
      </c>
      <c r="G1792">
        <f t="shared" si="34"/>
        <v>17.6925</v>
      </c>
      <c r="H1792">
        <v>3</v>
      </c>
    </row>
    <row r="1793" spans="2:8">
      <c r="B1793" s="3">
        <v>45645</v>
      </c>
      <c r="C1793" t="s">
        <v>108</v>
      </c>
      <c r="D1793">
        <f>VLOOKUP(C1793,成本价!$C$2:$D$1000,2,0)*H1793</f>
        <v>2.38</v>
      </c>
      <c r="E1793">
        <v>8.98</v>
      </c>
      <c r="G1793">
        <f t="shared" si="34"/>
        <v>6.6</v>
      </c>
      <c r="H1793">
        <f>1/1.5</f>
        <v>0.666666666666667</v>
      </c>
    </row>
    <row r="1794" spans="2:8">
      <c r="B1794" s="3">
        <v>45645</v>
      </c>
      <c r="C1794" t="s">
        <v>50</v>
      </c>
      <c r="D1794">
        <f>VLOOKUP(C1794,成本价!$C$2:$D$1000,2,0)*H1794</f>
        <v>5.498</v>
      </c>
      <c r="E1794">
        <f>11.64*2</f>
        <v>23.28</v>
      </c>
      <c r="G1794">
        <f t="shared" si="34"/>
        <v>17.782</v>
      </c>
      <c r="H1794">
        <v>2</v>
      </c>
    </row>
    <row r="1795" spans="2:8">
      <c r="B1795" s="3">
        <v>45645</v>
      </c>
      <c r="C1795" t="s">
        <v>27</v>
      </c>
      <c r="D1795">
        <f>VLOOKUP(C1795,成本价!$C$2:$D$1000,2,0)*H1795</f>
        <v>7.2</v>
      </c>
      <c r="E1795">
        <v>17.65</v>
      </c>
      <c r="G1795">
        <f t="shared" si="34"/>
        <v>10.45</v>
      </c>
      <c r="H1795">
        <v>4</v>
      </c>
    </row>
    <row r="1796" spans="2:8">
      <c r="B1796" s="3">
        <v>45645</v>
      </c>
      <c r="C1796" t="s">
        <v>49</v>
      </c>
      <c r="D1796">
        <f>VLOOKUP(C1796,成本价!$C$2:$D$1000,2,0)*H1796</f>
        <v>1.975</v>
      </c>
      <c r="E1796">
        <v>10.36</v>
      </c>
      <c r="G1796">
        <f t="shared" si="34"/>
        <v>8.385</v>
      </c>
      <c r="H1796">
        <v>1</v>
      </c>
    </row>
    <row r="1797" spans="2:8">
      <c r="B1797" s="3">
        <v>45645</v>
      </c>
      <c r="C1797" t="s">
        <v>33</v>
      </c>
      <c r="D1797">
        <f>VLOOKUP(C1797,成本价!$C$2:$D$1000,2,0)*H1797</f>
        <v>2.55</v>
      </c>
      <c r="E1797">
        <v>5.24</v>
      </c>
      <c r="G1797">
        <f t="shared" si="34"/>
        <v>2.69</v>
      </c>
      <c r="H1797">
        <v>1.5</v>
      </c>
    </row>
    <row r="1798" spans="2:8">
      <c r="B1798" s="3">
        <v>45645</v>
      </c>
      <c r="C1798" t="s">
        <v>81</v>
      </c>
      <c r="D1798">
        <f>VLOOKUP(C1798,成本价!$C$2:$D$1000,2,0)*H1798</f>
        <v>5.64</v>
      </c>
      <c r="E1798">
        <v>18.56</v>
      </c>
      <c r="G1798">
        <f t="shared" si="34"/>
        <v>12.92</v>
      </c>
      <c r="H1798">
        <v>1</v>
      </c>
    </row>
    <row r="1799" spans="2:8">
      <c r="B1799" s="3">
        <v>45645</v>
      </c>
      <c r="C1799" t="s">
        <v>33</v>
      </c>
      <c r="D1799">
        <f>VLOOKUP(C1799,成本价!$C$2:$D$1000,2,0)*H1799</f>
        <v>2.55</v>
      </c>
      <c r="E1799">
        <v>5.24</v>
      </c>
      <c r="G1799">
        <f t="shared" si="34"/>
        <v>2.69</v>
      </c>
      <c r="H1799">
        <v>1.5</v>
      </c>
    </row>
    <row r="1800" spans="2:8">
      <c r="B1800" s="3">
        <v>45645</v>
      </c>
      <c r="C1800" t="s">
        <v>56</v>
      </c>
      <c r="D1800">
        <f>VLOOKUP(C1800,成本价!$C$2:$D$1000,2,0)*H1800</f>
        <v>3.483</v>
      </c>
      <c r="E1800">
        <v>12.94</v>
      </c>
      <c r="G1800">
        <f t="shared" si="34"/>
        <v>9.457</v>
      </c>
      <c r="H1800">
        <v>3</v>
      </c>
    </row>
    <row r="1801" spans="2:8">
      <c r="B1801" s="3">
        <v>45645</v>
      </c>
      <c r="C1801" t="s">
        <v>55</v>
      </c>
      <c r="D1801">
        <f>VLOOKUP(C1801,成本价!$C$2:$D$1000,2,0)*H1801</f>
        <v>3.513</v>
      </c>
      <c r="E1801">
        <v>12.96</v>
      </c>
      <c r="G1801">
        <f t="shared" si="34"/>
        <v>9.447</v>
      </c>
      <c r="H1801">
        <v>3</v>
      </c>
    </row>
    <row r="1802" spans="2:8">
      <c r="B1802" s="3">
        <v>45645</v>
      </c>
      <c r="C1802" t="s">
        <v>59</v>
      </c>
      <c r="D1802">
        <f>VLOOKUP(C1802,成本价!$C$2:$D$1000,2,0)*H1802</f>
        <v>8.7</v>
      </c>
      <c r="E1802">
        <v>28.79</v>
      </c>
      <c r="G1802">
        <f t="shared" si="34"/>
        <v>20.09</v>
      </c>
      <c r="H1802">
        <v>1</v>
      </c>
    </row>
    <row r="1803" spans="2:8">
      <c r="B1803" s="3">
        <v>45645</v>
      </c>
      <c r="C1803" t="s">
        <v>90</v>
      </c>
      <c r="D1803">
        <f>VLOOKUP(C1803,成本价!$C$2:$D$1000,2,0)*H1803</f>
        <v>2.6</v>
      </c>
      <c r="G1803">
        <f t="shared" si="34"/>
        <v>-2.6</v>
      </c>
      <c r="H1803">
        <v>1</v>
      </c>
    </row>
    <row r="1804" spans="2:8">
      <c r="B1804" s="3">
        <v>45645</v>
      </c>
      <c r="C1804" t="s">
        <v>27</v>
      </c>
      <c r="D1804">
        <f>VLOOKUP(C1804,成本价!$C$2:$D$1000,2,0)*H1804</f>
        <v>1.8</v>
      </c>
      <c r="E1804">
        <v>5.19</v>
      </c>
      <c r="G1804">
        <f t="shared" si="34"/>
        <v>3.39</v>
      </c>
      <c r="H1804">
        <v>1</v>
      </c>
    </row>
    <row r="1805" spans="2:8">
      <c r="B1805" s="3">
        <v>45645</v>
      </c>
      <c r="C1805" t="s">
        <v>33</v>
      </c>
      <c r="D1805">
        <f>VLOOKUP(C1805,成本价!$C$2:$D$1000,2,0)*H1805</f>
        <v>5.1</v>
      </c>
      <c r="E1805">
        <f>7.24+7.24</f>
        <v>14.48</v>
      </c>
      <c r="G1805">
        <f t="shared" si="34"/>
        <v>9.38</v>
      </c>
      <c r="H1805">
        <v>3</v>
      </c>
    </row>
    <row r="1806" spans="2:8">
      <c r="B1806" s="3">
        <v>45645</v>
      </c>
      <c r="C1806" t="s">
        <v>27</v>
      </c>
      <c r="D1806">
        <f>VLOOKUP(C1806,成本价!$C$2:$D$1000,2,0)*H1806</f>
        <v>5.4</v>
      </c>
      <c r="E1806">
        <f>5.84+5.24</f>
        <v>11.08</v>
      </c>
      <c r="G1806">
        <f t="shared" si="34"/>
        <v>5.68</v>
      </c>
      <c r="H1806">
        <v>3</v>
      </c>
    </row>
    <row r="1807" spans="2:8">
      <c r="B1807" s="3">
        <v>45645</v>
      </c>
      <c r="C1807" t="s">
        <v>76</v>
      </c>
      <c r="D1807">
        <f>VLOOKUP(C1807,成本价!$C$2:$D$1000,2,0)*H1807</f>
        <v>1.7856</v>
      </c>
      <c r="E1807">
        <v>12.42</v>
      </c>
      <c r="G1807">
        <f t="shared" si="34"/>
        <v>10.6344</v>
      </c>
      <c r="H1807">
        <v>1</v>
      </c>
    </row>
    <row r="1808" spans="2:10">
      <c r="B1808" s="3">
        <v>45645</v>
      </c>
      <c r="C1808" t="s">
        <v>58</v>
      </c>
      <c r="D1808">
        <f>VLOOKUP(C1808,成本价!$C$2:$D$1000,2,0)*H1808</f>
        <v>8.4</v>
      </c>
      <c r="E1808">
        <v>33.96</v>
      </c>
      <c r="G1808">
        <f t="shared" si="34"/>
        <v>25.56</v>
      </c>
      <c r="H1808">
        <v>1</v>
      </c>
      <c r="J1808" s="2" t="s">
        <v>74</v>
      </c>
    </row>
    <row r="1809" spans="2:10">
      <c r="B1809" s="3">
        <v>45645</v>
      </c>
      <c r="C1809" t="s">
        <v>51</v>
      </c>
      <c r="D1809">
        <f>VLOOKUP(C1809,成本价!$C$2:$D$1000,2,0)*H1809</f>
        <v>9</v>
      </c>
      <c r="G1809">
        <f t="shared" si="34"/>
        <v>-9</v>
      </c>
      <c r="H1809">
        <v>1</v>
      </c>
      <c r="J1809" s="2" t="s">
        <v>74</v>
      </c>
    </row>
    <row r="1810" spans="2:10">
      <c r="B1810" s="3">
        <v>45645</v>
      </c>
      <c r="C1810" t="s">
        <v>81</v>
      </c>
      <c r="D1810">
        <f>VLOOKUP(C1810,成本价!$C$2:$D$1000,2,0)*H1810</f>
        <v>5.64</v>
      </c>
      <c r="E1810">
        <v>22.39</v>
      </c>
      <c r="G1810">
        <f t="shared" si="34"/>
        <v>16.75</v>
      </c>
      <c r="H1810">
        <v>1</v>
      </c>
      <c r="J1810" s="2" t="s">
        <v>74</v>
      </c>
    </row>
    <row r="1811" spans="2:10">
      <c r="B1811" s="3">
        <v>45645</v>
      </c>
      <c r="C1811" t="s">
        <v>66</v>
      </c>
      <c r="D1811">
        <f>VLOOKUP(C1811,成本价!$C$2:$D$1000,2,0)*H1811</f>
        <v>6.24</v>
      </c>
      <c r="G1811">
        <f t="shared" si="34"/>
        <v>-6.24</v>
      </c>
      <c r="H1811">
        <v>1</v>
      </c>
      <c r="J1811" s="2" t="s">
        <v>74</v>
      </c>
    </row>
    <row r="1812" spans="2:9">
      <c r="B1812" s="3"/>
      <c r="I1812">
        <f>96.02+28.4</f>
        <v>124.42</v>
      </c>
    </row>
    <row r="1813" spans="2:8">
      <c r="B1813" s="29">
        <v>45646</v>
      </c>
      <c r="C1813" t="s">
        <v>27</v>
      </c>
      <c r="D1813">
        <f>VLOOKUP(C1813,成本价!$C$2:$D$1000,2,0)*H1813</f>
        <v>2.7</v>
      </c>
      <c r="E1813">
        <v>5.84</v>
      </c>
      <c r="F1813">
        <v>63</v>
      </c>
      <c r="G1813">
        <f t="shared" si="34"/>
        <v>3.14</v>
      </c>
      <c r="H1813">
        <v>1.5</v>
      </c>
    </row>
    <row r="1814" spans="2:8">
      <c r="B1814" s="3">
        <v>45646</v>
      </c>
      <c r="C1814" t="s">
        <v>87</v>
      </c>
      <c r="D1814">
        <f>VLOOKUP(C1814,成本价!$C$2:$D$1000,2,0)*H1814</f>
        <v>15.3</v>
      </c>
      <c r="E1814">
        <f>5.45+7.91+14.26+6.82+7.91+10.92+7.91+6.82+13.8+13.8+13.8+6.82+7.91</f>
        <v>124.13</v>
      </c>
      <c r="G1814">
        <f t="shared" si="34"/>
        <v>108.83</v>
      </c>
      <c r="H1814">
        <f>9+3+2+18+6+9+12+8+6+20+8+4+6+9</f>
        <v>120</v>
      </c>
    </row>
    <row r="1815" spans="2:8">
      <c r="B1815" s="3">
        <v>45646</v>
      </c>
      <c r="C1815" t="s">
        <v>88</v>
      </c>
      <c r="D1815">
        <f>VLOOKUP(C1815,成本价!$C$2:$D$1000,2,0)*H1815</f>
        <v>12.555</v>
      </c>
      <c r="E1815">
        <f>5.46+5.46+5.46</f>
        <v>16.38</v>
      </c>
      <c r="G1815">
        <f t="shared" si="34"/>
        <v>3.825</v>
      </c>
      <c r="H1815">
        <f>9+9+9+7+6+3+3+6+4+3+12+16+3+3</f>
        <v>93</v>
      </c>
    </row>
    <row r="1816" spans="2:8">
      <c r="B1816" s="3">
        <v>45646</v>
      </c>
      <c r="C1816" t="s">
        <v>109</v>
      </c>
      <c r="D1816">
        <f>VLOOKUP(C1816,成本价!$C$2:$D$1000,2,0)*H1816</f>
        <v>0.9225</v>
      </c>
      <c r="E1816">
        <v>6.82</v>
      </c>
      <c r="G1816">
        <f t="shared" si="34"/>
        <v>5.8975</v>
      </c>
      <c r="H1816">
        <v>1</v>
      </c>
    </row>
    <row r="1817" spans="2:7">
      <c r="B1817" s="3">
        <v>45646</v>
      </c>
      <c r="C1817" t="s">
        <v>96</v>
      </c>
      <c r="D1817">
        <f>VLOOKUP(C1817,成本价!$C$2:$D$1000,2,0)*H1817</f>
        <v>0</v>
      </c>
      <c r="E1817">
        <v>11.3</v>
      </c>
      <c r="G1817">
        <f t="shared" si="34"/>
        <v>11.3</v>
      </c>
    </row>
    <row r="1818" spans="2:7">
      <c r="B1818" s="3">
        <v>45646</v>
      </c>
      <c r="C1818" t="s">
        <v>93</v>
      </c>
      <c r="D1818">
        <f>VLOOKUP(C1818,成本价!$C$2:$D$1000,2,0)*H1818</f>
        <v>0</v>
      </c>
      <c r="E1818">
        <v>11.7</v>
      </c>
      <c r="G1818">
        <f t="shared" si="34"/>
        <v>11.7</v>
      </c>
    </row>
    <row r="1819" spans="2:8">
      <c r="B1819" s="3">
        <v>45646</v>
      </c>
      <c r="C1819" t="s">
        <v>55</v>
      </c>
      <c r="D1819">
        <f>VLOOKUP(C1819,成本价!$C$2:$D$1000,2,0)*H1819</f>
        <v>3.513</v>
      </c>
      <c r="E1819">
        <v>13.25</v>
      </c>
      <c r="G1819">
        <f t="shared" si="34"/>
        <v>9.737</v>
      </c>
      <c r="H1819">
        <v>3</v>
      </c>
    </row>
    <row r="1820" spans="2:8">
      <c r="B1820" s="3">
        <v>45646</v>
      </c>
      <c r="C1820" t="s">
        <v>16</v>
      </c>
      <c r="D1820">
        <f>VLOOKUP(C1820,成本价!$C$2:$D$1000,2,0)*H1820</f>
        <v>8.1</v>
      </c>
      <c r="E1820">
        <v>19.11</v>
      </c>
      <c r="G1820">
        <f t="shared" si="34"/>
        <v>11.01</v>
      </c>
      <c r="H1820">
        <v>3</v>
      </c>
    </row>
    <row r="1821" spans="2:8">
      <c r="B1821" s="3">
        <v>45646</v>
      </c>
      <c r="C1821" t="s">
        <v>33</v>
      </c>
      <c r="D1821">
        <f>VLOOKUP(C1821,成本价!$C$2:$D$1000,2,0)*H1821</f>
        <v>2.55</v>
      </c>
      <c r="E1821">
        <v>5.24</v>
      </c>
      <c r="G1821">
        <f t="shared" si="34"/>
        <v>2.69</v>
      </c>
      <c r="H1821">
        <v>1.5</v>
      </c>
    </row>
    <row r="1822" spans="2:8">
      <c r="B1822" s="3">
        <v>45646</v>
      </c>
      <c r="C1822" t="s">
        <v>111</v>
      </c>
      <c r="D1822">
        <f>VLOOKUP(C1822,成本价!$C$2:$D$1000,2,0)*H1822</f>
        <v>24.08</v>
      </c>
      <c r="E1822">
        <v>63.06</v>
      </c>
      <c r="G1822">
        <f t="shared" si="34"/>
        <v>38.98</v>
      </c>
      <c r="H1822">
        <v>2</v>
      </c>
    </row>
    <row r="1823" spans="2:8">
      <c r="B1823" s="3">
        <v>45646</v>
      </c>
      <c r="C1823" t="s">
        <v>73</v>
      </c>
      <c r="D1823">
        <f>VLOOKUP(C1823,成本价!$C$2:$D$1000,2,0)*H1823</f>
        <v>12.48</v>
      </c>
      <c r="E1823">
        <v>31.53</v>
      </c>
      <c r="G1823">
        <f t="shared" si="34"/>
        <v>19.05</v>
      </c>
      <c r="H1823">
        <v>1</v>
      </c>
    </row>
    <row r="1824" spans="2:8">
      <c r="B1824" s="3">
        <v>45646</v>
      </c>
      <c r="C1824" t="s">
        <v>112</v>
      </c>
      <c r="D1824">
        <f>VLOOKUP(C1824,成本价!$C$2:$D$1000,2,0)*H1824</f>
        <v>9.9</v>
      </c>
      <c r="G1824">
        <f t="shared" si="34"/>
        <v>-9.9</v>
      </c>
      <c r="H1824">
        <v>3</v>
      </c>
    </row>
    <row r="1825" spans="2:8">
      <c r="B1825" s="3">
        <v>45646</v>
      </c>
      <c r="C1825" t="s">
        <v>55</v>
      </c>
      <c r="D1825">
        <f>VLOOKUP(C1825,成本价!$C$2:$D$1000,2,0)*H1825</f>
        <v>3.513</v>
      </c>
      <c r="E1825">
        <v>13.55</v>
      </c>
      <c r="G1825">
        <f t="shared" si="34"/>
        <v>10.037</v>
      </c>
      <c r="H1825">
        <v>3</v>
      </c>
    </row>
    <row r="1826" spans="2:8">
      <c r="B1826" s="3">
        <v>45646</v>
      </c>
      <c r="C1826" t="s">
        <v>69</v>
      </c>
      <c r="D1826">
        <f>VLOOKUP(C1826,成本价!$C$2:$D$1000,2,0)*H1826</f>
        <v>17.12</v>
      </c>
      <c r="E1826">
        <v>44.27</v>
      </c>
      <c r="G1826">
        <f t="shared" si="34"/>
        <v>27.15</v>
      </c>
      <c r="H1826">
        <v>1</v>
      </c>
    </row>
    <row r="1827" spans="2:8">
      <c r="B1827" s="3">
        <v>45646</v>
      </c>
      <c r="C1827" t="s">
        <v>112</v>
      </c>
      <c r="D1827">
        <f>VLOOKUP(C1827,成本价!$C$2:$D$1000,2,0)*H1827</f>
        <v>3.3</v>
      </c>
      <c r="G1827">
        <f t="shared" si="34"/>
        <v>-3.3</v>
      </c>
      <c r="H1827">
        <v>1</v>
      </c>
    </row>
    <row r="1828" spans="2:8">
      <c r="B1828" s="3">
        <v>45646</v>
      </c>
      <c r="C1828" t="s">
        <v>53</v>
      </c>
      <c r="D1828">
        <f>VLOOKUP(C1828,成本价!$C$2:$D$1000,2,0)*H1828</f>
        <v>9.68</v>
      </c>
      <c r="E1828">
        <v>30.76</v>
      </c>
      <c r="G1828">
        <f t="shared" si="34"/>
        <v>21.08</v>
      </c>
      <c r="H1828">
        <v>1</v>
      </c>
    </row>
    <row r="1829" spans="2:8">
      <c r="B1829" s="3">
        <v>45646</v>
      </c>
      <c r="C1829" t="s">
        <v>91</v>
      </c>
      <c r="D1829">
        <f>VLOOKUP(C1829,成本价!$C$2:$D$1000,2,0)*H1829</f>
        <v>3</v>
      </c>
      <c r="G1829">
        <f t="shared" si="34"/>
        <v>-3</v>
      </c>
      <c r="H1829">
        <v>1</v>
      </c>
    </row>
    <row r="1830" spans="2:8">
      <c r="B1830" s="3">
        <v>45646</v>
      </c>
      <c r="C1830" t="s">
        <v>50</v>
      </c>
      <c r="D1830">
        <f>VLOOKUP(C1830,成本价!$C$2:$D$1000,2,0)*H1830</f>
        <v>2.749</v>
      </c>
      <c r="E1830">
        <v>11.6</v>
      </c>
      <c r="G1830">
        <f t="shared" si="34"/>
        <v>8.851</v>
      </c>
      <c r="H1830">
        <v>1</v>
      </c>
    </row>
    <row r="1831" spans="2:8">
      <c r="B1831" s="3">
        <v>45646</v>
      </c>
      <c r="C1831" t="s">
        <v>33</v>
      </c>
      <c r="D1831">
        <f>VLOOKUP(C1831,成本价!$C$2:$D$1000,2,0)*H1831</f>
        <v>1.7</v>
      </c>
      <c r="E1831">
        <v>5.19</v>
      </c>
      <c r="G1831">
        <f t="shared" si="34"/>
        <v>3.49</v>
      </c>
      <c r="H1831">
        <v>1</v>
      </c>
    </row>
    <row r="1832" spans="2:8">
      <c r="B1832" s="3">
        <v>45646</v>
      </c>
      <c r="C1832" t="s">
        <v>50</v>
      </c>
      <c r="D1832">
        <f>VLOOKUP(C1832,成本价!$C$2:$D$1000,2,0)*H1832</f>
        <v>2.749</v>
      </c>
      <c r="E1832">
        <v>11.6</v>
      </c>
      <c r="G1832">
        <f t="shared" ref="G1832:G1895" si="35">E1832-D1832</f>
        <v>8.851</v>
      </c>
      <c r="H1832">
        <v>1</v>
      </c>
    </row>
    <row r="1833" spans="2:8">
      <c r="B1833" s="3">
        <v>45646</v>
      </c>
      <c r="C1833" t="s">
        <v>33</v>
      </c>
      <c r="D1833">
        <f>VLOOKUP(C1833,成本价!$C$2:$D$1000,2,0)*H1833</f>
        <v>2.55</v>
      </c>
      <c r="E1833">
        <v>5.24</v>
      </c>
      <c r="G1833">
        <f t="shared" si="35"/>
        <v>2.69</v>
      </c>
      <c r="H1833">
        <v>1.5</v>
      </c>
    </row>
    <row r="1834" spans="2:8">
      <c r="B1834" s="3">
        <v>45646</v>
      </c>
      <c r="C1834" t="s">
        <v>65</v>
      </c>
      <c r="D1834">
        <f>VLOOKUP(C1834,成本价!$C$2:$D$1000,2,0)*H1834</f>
        <v>5.3</v>
      </c>
      <c r="E1834">
        <v>19.05</v>
      </c>
      <c r="G1834">
        <f t="shared" si="35"/>
        <v>13.75</v>
      </c>
      <c r="H1834">
        <v>1</v>
      </c>
    </row>
    <row r="1835" spans="2:8">
      <c r="B1835" s="3">
        <v>45646</v>
      </c>
      <c r="C1835" t="s">
        <v>80</v>
      </c>
      <c r="D1835">
        <f>VLOOKUP(C1835,成本价!$C$2:$D$1000,2,0)*H1835</f>
        <v>8.1</v>
      </c>
      <c r="E1835">
        <v>20.24</v>
      </c>
      <c r="G1835">
        <f t="shared" si="35"/>
        <v>12.14</v>
      </c>
      <c r="H1835">
        <v>1</v>
      </c>
    </row>
    <row r="1836" spans="2:8">
      <c r="B1836" s="3">
        <v>45646</v>
      </c>
      <c r="C1836" t="s">
        <v>58</v>
      </c>
      <c r="D1836">
        <f>VLOOKUP(C1836,成本价!$C$2:$D$1000,2,0)*H1836</f>
        <v>8.4</v>
      </c>
      <c r="E1836">
        <v>15.4</v>
      </c>
      <c r="G1836">
        <f t="shared" si="35"/>
        <v>7</v>
      </c>
      <c r="H1836">
        <v>1</v>
      </c>
    </row>
    <row r="1837" spans="2:8">
      <c r="B1837" s="3">
        <v>45646</v>
      </c>
      <c r="C1837" t="s">
        <v>101</v>
      </c>
      <c r="D1837">
        <f>VLOOKUP(C1837,成本价!$C$2:$D$1000,2,0)*H1837</f>
        <v>7.155</v>
      </c>
      <c r="E1837">
        <v>9.99</v>
      </c>
      <c r="G1837">
        <f t="shared" si="35"/>
        <v>2.835</v>
      </c>
      <c r="H1837">
        <v>1.5</v>
      </c>
    </row>
    <row r="1838" spans="9:9">
      <c r="I1838">
        <f>168.43+37.42</f>
        <v>205.85</v>
      </c>
    </row>
    <row r="1839" spans="2:8">
      <c r="B1839" s="29">
        <v>45647</v>
      </c>
      <c r="C1839" t="s">
        <v>87</v>
      </c>
      <c r="D1839">
        <f>VLOOKUP(C1839,成本价!$C$2:$D$1000,2,0)*H1839</f>
        <v>9.435</v>
      </c>
      <c r="E1839">
        <f>10.92+7.69+13.8+6.82+6.82+7.91+5.46+5.46+5.46+5.45+6.82+6.82+6.82+6.82+6.82+6.82+6.82</f>
        <v>123.53</v>
      </c>
      <c r="F1839">
        <v>98</v>
      </c>
      <c r="G1839">
        <f t="shared" si="35"/>
        <v>114.095</v>
      </c>
      <c r="H1839">
        <f>9+9+9+9+9+6+8+9+6</f>
        <v>74</v>
      </c>
    </row>
    <row r="1840" spans="2:8">
      <c r="B1840" s="3">
        <v>45647</v>
      </c>
      <c r="C1840" t="s">
        <v>88</v>
      </c>
      <c r="D1840">
        <f>VLOOKUP(C1840,成本价!$C$2:$D$1000,2,0)*H1840</f>
        <v>12.555</v>
      </c>
      <c r="G1840">
        <f t="shared" si="35"/>
        <v>-12.555</v>
      </c>
      <c r="H1840">
        <f>9+9+9+9+9+9+9+3+9+12+3+3</f>
        <v>93</v>
      </c>
    </row>
    <row r="1841" spans="2:8">
      <c r="B1841" s="3">
        <v>45647</v>
      </c>
      <c r="C1841" t="s">
        <v>109</v>
      </c>
      <c r="D1841">
        <f>VLOOKUP(C1841,成本价!$C$2:$D$1000,2,0)*H1841</f>
        <v>0</v>
      </c>
      <c r="G1841">
        <f t="shared" si="35"/>
        <v>0</v>
      </c>
      <c r="H1841">
        <v>0</v>
      </c>
    </row>
    <row r="1842" spans="2:8">
      <c r="B1842" s="3">
        <v>45647</v>
      </c>
      <c r="C1842" t="s">
        <v>37</v>
      </c>
      <c r="D1842">
        <f>VLOOKUP(C1842,成本价!$C$2:$D$1000,2,0)*H1842</f>
        <v>7.62</v>
      </c>
      <c r="E1842">
        <f>7.09+7.09</f>
        <v>14.18</v>
      </c>
      <c r="G1842">
        <f t="shared" si="35"/>
        <v>6.56</v>
      </c>
      <c r="H1842">
        <v>3</v>
      </c>
    </row>
    <row r="1843" spans="2:8">
      <c r="B1843" s="3">
        <v>45647</v>
      </c>
      <c r="C1843" t="s">
        <v>36</v>
      </c>
      <c r="D1843">
        <f>VLOOKUP(C1843,成本价!$C$2:$D$1000,2,0)*H1843</f>
        <v>3.48</v>
      </c>
      <c r="E1843">
        <f>7.09</f>
        <v>7.09</v>
      </c>
      <c r="G1843">
        <f t="shared" si="35"/>
        <v>3.61</v>
      </c>
      <c r="H1843">
        <v>1.5</v>
      </c>
    </row>
    <row r="1844" spans="2:8">
      <c r="B1844" s="3">
        <v>45647</v>
      </c>
      <c r="C1844" t="s">
        <v>33</v>
      </c>
      <c r="D1844">
        <f>VLOOKUP(C1844,成本价!$C$2:$D$1000,2,0)*H1844</f>
        <v>5.1</v>
      </c>
      <c r="E1844">
        <f>6.25*3</f>
        <v>18.75</v>
      </c>
      <c r="G1844">
        <f t="shared" si="35"/>
        <v>13.65</v>
      </c>
      <c r="H1844">
        <v>3</v>
      </c>
    </row>
    <row r="1845" spans="2:8">
      <c r="B1845" s="3">
        <v>45647</v>
      </c>
      <c r="C1845" t="s">
        <v>33</v>
      </c>
      <c r="D1845">
        <f>VLOOKUP(C1845,成本价!$C$2:$D$1000,2,0)*H1845</f>
        <v>1.275</v>
      </c>
      <c r="E1845">
        <f>4.22+4.42</f>
        <v>8.64</v>
      </c>
      <c r="G1845">
        <f t="shared" si="35"/>
        <v>7.365</v>
      </c>
      <c r="H1845">
        <f>1/4*3</f>
        <v>0.75</v>
      </c>
    </row>
    <row r="1846" spans="2:8">
      <c r="B1846" s="3">
        <v>45647</v>
      </c>
      <c r="C1846" t="s">
        <v>40</v>
      </c>
      <c r="D1846">
        <f>VLOOKUP(C1846,成本价!$C$2:$D$1000,2,0)*H1846</f>
        <v>2.82</v>
      </c>
      <c r="E1846">
        <v>5.09</v>
      </c>
      <c r="G1846">
        <f t="shared" si="35"/>
        <v>2.27</v>
      </c>
      <c r="H1846">
        <v>1.5</v>
      </c>
    </row>
    <row r="1847" spans="2:8">
      <c r="B1847" s="3">
        <v>45647</v>
      </c>
      <c r="C1847" t="s">
        <v>49</v>
      </c>
      <c r="D1847">
        <f>VLOOKUP(C1847,成本价!$C$2:$D$1000,2,0)*H1847</f>
        <v>3.95</v>
      </c>
      <c r="E1847">
        <v>20.25</v>
      </c>
      <c r="G1847">
        <f t="shared" si="35"/>
        <v>16.3</v>
      </c>
      <c r="H1847">
        <v>2</v>
      </c>
    </row>
    <row r="1848" spans="2:8">
      <c r="B1848" s="3">
        <v>45647</v>
      </c>
      <c r="C1848" t="s">
        <v>94</v>
      </c>
      <c r="D1848">
        <f>VLOOKUP(C1848,成本价!$C$2:$D$1000,2,0)*H1848</f>
        <v>3.9</v>
      </c>
      <c r="E1848" s="2">
        <v>7.81</v>
      </c>
      <c r="G1848">
        <f t="shared" si="35"/>
        <v>3.91</v>
      </c>
      <c r="H1848">
        <v>1</v>
      </c>
    </row>
    <row r="1849" spans="2:8">
      <c r="B1849" s="3">
        <v>45647</v>
      </c>
      <c r="C1849" t="s">
        <v>33</v>
      </c>
      <c r="D1849">
        <f>VLOOKUP(C1849,成本价!$C$2:$D$1000,2,0)*H1849</f>
        <v>8.5</v>
      </c>
      <c r="E1849" s="2">
        <v>28.79</v>
      </c>
      <c r="G1849">
        <f t="shared" si="35"/>
        <v>20.29</v>
      </c>
      <c r="H1849">
        <v>5</v>
      </c>
    </row>
    <row r="1850" spans="2:8">
      <c r="B1850" s="3">
        <v>45647</v>
      </c>
      <c r="C1850" t="s">
        <v>96</v>
      </c>
      <c r="D1850">
        <f>VLOOKUP(C1850,成本价!$C$2:$D$1000,2,0)*H1850</f>
        <v>6.8</v>
      </c>
      <c r="E1850" s="2">
        <v>13.7</v>
      </c>
      <c r="G1850">
        <f t="shared" si="35"/>
        <v>6.9</v>
      </c>
      <c r="H1850" s="2">
        <f>1/3*4</f>
        <v>1.33333333333333</v>
      </c>
    </row>
    <row r="1851" spans="2:8">
      <c r="B1851" s="3">
        <v>45647</v>
      </c>
      <c r="C1851" t="s">
        <v>28</v>
      </c>
      <c r="D1851">
        <f>VLOOKUP(C1851,成本价!$C$2:$D$1000,2,0)*H1851</f>
        <v>9.99</v>
      </c>
      <c r="E1851">
        <f>5.09+6.88+6.88</f>
        <v>18.85</v>
      </c>
      <c r="G1851">
        <f t="shared" si="35"/>
        <v>8.86</v>
      </c>
      <c r="H1851" s="2">
        <v>4.5</v>
      </c>
    </row>
    <row r="1852" spans="2:8">
      <c r="B1852" s="3">
        <v>45647</v>
      </c>
      <c r="C1852" t="s">
        <v>23</v>
      </c>
      <c r="D1852">
        <f>VLOOKUP(C1852,成本价!$C$2:$D$1000,2,0)*H1852</f>
        <v>3.12</v>
      </c>
      <c r="E1852">
        <v>6.88</v>
      </c>
      <c r="G1852">
        <f t="shared" si="35"/>
        <v>3.76</v>
      </c>
      <c r="H1852" s="2">
        <v>1.5</v>
      </c>
    </row>
    <row r="1853" spans="2:8">
      <c r="B1853" s="3">
        <v>45647</v>
      </c>
      <c r="C1853" t="s">
        <v>94</v>
      </c>
      <c r="D1853">
        <f>VLOOKUP(C1853,成本价!$C$2:$D$1000,2,0)*H1853</f>
        <v>0.975</v>
      </c>
      <c r="E1853">
        <v>7.1</v>
      </c>
      <c r="G1853">
        <f t="shared" si="35"/>
        <v>6.125</v>
      </c>
      <c r="H1853">
        <f>1/4</f>
        <v>0.25</v>
      </c>
    </row>
    <row r="1854" spans="2:8">
      <c r="B1854" s="3">
        <v>45647</v>
      </c>
      <c r="C1854" t="s">
        <v>94</v>
      </c>
      <c r="D1854">
        <f>VLOOKUP(C1854,成本价!$C$2:$D$1000,2,0)*H1854</f>
        <v>3.9</v>
      </c>
      <c r="E1854">
        <v>8.27</v>
      </c>
      <c r="G1854">
        <f t="shared" si="35"/>
        <v>4.37</v>
      </c>
      <c r="H1854">
        <v>1</v>
      </c>
    </row>
    <row r="1855" spans="2:8">
      <c r="B1855" s="3">
        <v>45647</v>
      </c>
      <c r="C1855" t="s">
        <v>33</v>
      </c>
      <c r="D1855">
        <f>VLOOKUP(C1855,成本价!$C$2:$D$1000,2,0)*H1855</f>
        <v>1.7</v>
      </c>
      <c r="E1855">
        <v>7.46</v>
      </c>
      <c r="G1855">
        <f t="shared" si="35"/>
        <v>5.76</v>
      </c>
      <c r="H1855">
        <v>1</v>
      </c>
    </row>
    <row r="1856" spans="2:8">
      <c r="B1856" s="3">
        <v>45647</v>
      </c>
      <c r="C1856" t="s">
        <v>27</v>
      </c>
      <c r="D1856">
        <f>VLOOKUP(C1856,成本价!$C$2:$D$1000,2,0)*H1856</f>
        <v>5.4</v>
      </c>
      <c r="E1856">
        <f>7.84+5.24</f>
        <v>13.08</v>
      </c>
      <c r="G1856">
        <f t="shared" si="35"/>
        <v>7.68</v>
      </c>
      <c r="H1856">
        <v>3</v>
      </c>
    </row>
    <row r="1857" spans="2:8">
      <c r="B1857" s="3">
        <v>45647</v>
      </c>
      <c r="C1857" t="s">
        <v>79</v>
      </c>
      <c r="D1857">
        <f>VLOOKUP(C1857,成本价!$C$2:$D$1000,2,0)*H1857</f>
        <v>12.3</v>
      </c>
      <c r="E1857">
        <v>34.56</v>
      </c>
      <c r="G1857">
        <f t="shared" si="35"/>
        <v>22.26</v>
      </c>
      <c r="H1857">
        <v>1</v>
      </c>
    </row>
    <row r="1858" spans="2:8">
      <c r="B1858" s="3">
        <v>45647</v>
      </c>
      <c r="C1858" t="s">
        <v>90</v>
      </c>
      <c r="D1858">
        <f>VLOOKUP(C1858,成本价!$C$2:$D$1000,2,0)*H1858</f>
        <v>2.6</v>
      </c>
      <c r="G1858">
        <f t="shared" si="35"/>
        <v>-2.6</v>
      </c>
      <c r="H1858">
        <v>1</v>
      </c>
    </row>
    <row r="1859" spans="2:8">
      <c r="B1859" s="3">
        <v>45647</v>
      </c>
      <c r="C1859" t="s">
        <v>55</v>
      </c>
      <c r="D1859">
        <f>VLOOKUP(C1859,成本价!$C$2:$D$1000,2,0)*H1859</f>
        <v>1.171</v>
      </c>
      <c r="E1859">
        <v>13.25</v>
      </c>
      <c r="G1859">
        <f t="shared" si="35"/>
        <v>12.079</v>
      </c>
      <c r="H1859">
        <v>1</v>
      </c>
    </row>
    <row r="1860" spans="2:8">
      <c r="B1860" s="3">
        <v>45647</v>
      </c>
      <c r="C1860" t="s">
        <v>114</v>
      </c>
      <c r="D1860">
        <f>VLOOKUP(C1860,成本价!$C$2:$D$1000,2,0)*H1860</f>
        <v>0.2304</v>
      </c>
      <c r="E1860">
        <v>4.94</v>
      </c>
      <c r="G1860">
        <f t="shared" si="35"/>
        <v>4.7096</v>
      </c>
      <c r="H1860">
        <v>1</v>
      </c>
    </row>
    <row r="1861" spans="2:8">
      <c r="B1861" s="3">
        <v>45647</v>
      </c>
      <c r="C1861" t="s">
        <v>59</v>
      </c>
      <c r="D1861">
        <f>VLOOKUP(C1861,成本价!$C$2:$D$1000,2,0)*H1861</f>
        <v>8.7</v>
      </c>
      <c r="E1861">
        <v>30.01</v>
      </c>
      <c r="G1861">
        <f t="shared" si="35"/>
        <v>21.31</v>
      </c>
      <c r="H1861">
        <v>1</v>
      </c>
    </row>
    <row r="1862" spans="2:8">
      <c r="B1862" s="3">
        <v>45647</v>
      </c>
      <c r="C1862" t="s">
        <v>76</v>
      </c>
      <c r="D1862">
        <f>VLOOKUP(C1862,成本价!$C$2:$D$1000,2,0)*H1862</f>
        <v>1.7856</v>
      </c>
      <c r="E1862">
        <v>12.41</v>
      </c>
      <c r="G1862">
        <f t="shared" si="35"/>
        <v>10.6244</v>
      </c>
      <c r="H1862">
        <v>1</v>
      </c>
    </row>
    <row r="1863" spans="2:10">
      <c r="B1863" s="3">
        <v>45647</v>
      </c>
      <c r="C1863" t="s">
        <v>59</v>
      </c>
      <c r="D1863">
        <f>VLOOKUP(C1863,成本价!$C$2:$D$1000,2,0)*H1863</f>
        <v>8.7</v>
      </c>
      <c r="E1863">
        <v>21.7</v>
      </c>
      <c r="G1863">
        <f t="shared" si="35"/>
        <v>13</v>
      </c>
      <c r="H1863">
        <v>1</v>
      </c>
      <c r="J1863" s="2" t="s">
        <v>74</v>
      </c>
    </row>
    <row r="1864" spans="2:10">
      <c r="B1864" s="3">
        <v>45647</v>
      </c>
      <c r="C1864" t="s">
        <v>90</v>
      </c>
      <c r="D1864">
        <f>VLOOKUP(C1864,成本价!$C$2:$D$1000,2,0)*H1864</f>
        <v>2.6</v>
      </c>
      <c r="G1864">
        <f t="shared" si="35"/>
        <v>-2.6</v>
      </c>
      <c r="H1864">
        <v>1</v>
      </c>
      <c r="J1864" s="2" t="s">
        <v>74</v>
      </c>
    </row>
    <row r="1865" spans="9:9">
      <c r="I1865">
        <f>120.08+20.46</f>
        <v>140.54</v>
      </c>
    </row>
    <row r="1866" spans="2:8">
      <c r="B1866" s="29">
        <v>45648</v>
      </c>
      <c r="C1866" t="s">
        <v>87</v>
      </c>
      <c r="D1866">
        <f>VLOOKUP(C1866,成本价!$C$2:$D$1000,2,0)*H1866</f>
        <v>9.18</v>
      </c>
      <c r="E1866">
        <f>6.81+14.24+13.78+10.92+6.82+4.2+5.45+5.45+5.45+5.46+5.46+5.46+6.82+6.82+6.82+6.82+10.92+6.82</f>
        <v>134.52</v>
      </c>
      <c r="F1866">
        <v>112</v>
      </c>
      <c r="G1866">
        <f t="shared" si="35"/>
        <v>125.34</v>
      </c>
      <c r="H1866">
        <f>9+9+4+9+2+6+9+9+9+6</f>
        <v>72</v>
      </c>
    </row>
    <row r="1867" spans="2:8">
      <c r="B1867" s="3">
        <v>45648</v>
      </c>
      <c r="C1867" t="s">
        <v>88</v>
      </c>
      <c r="D1867">
        <f>VLOOKUP(C1867,成本价!$C$2:$D$1000,2,0)*H1867</f>
        <v>7.02</v>
      </c>
      <c r="G1867">
        <f t="shared" si="35"/>
        <v>-7.02</v>
      </c>
      <c r="H1867">
        <f>3+16+3+9+9+9+3</f>
        <v>52</v>
      </c>
    </row>
    <row r="1868" spans="2:8">
      <c r="B1868" s="3">
        <v>45648</v>
      </c>
      <c r="C1868" t="s">
        <v>109</v>
      </c>
      <c r="D1868">
        <f>VLOOKUP(C1868,成本价!$C$2:$D$1000,2,0)*H1868</f>
        <v>4.6125</v>
      </c>
      <c r="G1868">
        <f t="shared" si="35"/>
        <v>-4.6125</v>
      </c>
      <c r="H1868">
        <v>5</v>
      </c>
    </row>
    <row r="1869" spans="2:8">
      <c r="B1869" s="3">
        <v>45648</v>
      </c>
      <c r="C1869" t="s">
        <v>23</v>
      </c>
      <c r="D1869">
        <f>VLOOKUP(C1869,成本价!$C$2:$D$1000,2,0)*H1869</f>
        <v>9.36</v>
      </c>
      <c r="E1869">
        <f>7.09+7.09+5.09</f>
        <v>19.27</v>
      </c>
      <c r="G1869">
        <f t="shared" si="35"/>
        <v>9.91</v>
      </c>
      <c r="H1869">
        <v>4.5</v>
      </c>
    </row>
    <row r="1870" spans="2:8">
      <c r="B1870" s="3">
        <v>45648</v>
      </c>
      <c r="C1870" t="s">
        <v>36</v>
      </c>
      <c r="D1870">
        <f>VLOOKUP(C1870,成本价!$C$2:$D$1000,2,0)*H1870</f>
        <v>3.48</v>
      </c>
      <c r="E1870">
        <v>5.09</v>
      </c>
      <c r="G1870">
        <f t="shared" si="35"/>
        <v>1.61</v>
      </c>
      <c r="H1870">
        <v>1.5</v>
      </c>
    </row>
    <row r="1871" spans="2:8">
      <c r="B1871" s="3">
        <v>45648</v>
      </c>
      <c r="C1871" t="s">
        <v>33</v>
      </c>
      <c r="D1871">
        <f>VLOOKUP(C1871,成本价!$C$2:$D$1000,2,0)*H1871</f>
        <v>2.55</v>
      </c>
      <c r="E1871">
        <v>5.09</v>
      </c>
      <c r="G1871">
        <f t="shared" si="35"/>
        <v>2.54</v>
      </c>
      <c r="H1871">
        <v>1.5</v>
      </c>
    </row>
    <row r="1872" spans="2:8">
      <c r="B1872" s="3">
        <v>45648</v>
      </c>
      <c r="C1872" t="s">
        <v>23</v>
      </c>
      <c r="D1872">
        <f>VLOOKUP(C1872,成本价!$C$2:$D$1000,2,0)*H1872</f>
        <v>2.08</v>
      </c>
      <c r="E1872">
        <f>7.09</f>
        <v>7.09</v>
      </c>
      <c r="G1872">
        <f t="shared" si="35"/>
        <v>5.01</v>
      </c>
      <c r="H1872">
        <v>1</v>
      </c>
    </row>
    <row r="1873" spans="2:8">
      <c r="B1873" s="3">
        <v>45648</v>
      </c>
      <c r="C1873" t="s">
        <v>28</v>
      </c>
      <c r="D1873">
        <f>VLOOKUP(C1873,成本价!$C$2:$D$1000,2,0)*H1873</f>
        <v>6.66</v>
      </c>
      <c r="E1873">
        <f>7.09+5.09</f>
        <v>12.18</v>
      </c>
      <c r="G1873">
        <f t="shared" si="35"/>
        <v>5.52</v>
      </c>
      <c r="H1873">
        <v>3</v>
      </c>
    </row>
    <row r="1874" spans="2:8">
      <c r="B1874" s="3">
        <v>45648</v>
      </c>
      <c r="C1874" t="s">
        <v>102</v>
      </c>
      <c r="D1874">
        <f>VLOOKUP(C1874,成本价!$C$2:$D$1000,2,0)*H1874</f>
        <v>7.5</v>
      </c>
      <c r="E1874">
        <v>18.3</v>
      </c>
      <c r="G1874">
        <f t="shared" si="35"/>
        <v>10.8</v>
      </c>
      <c r="H1874">
        <v>1</v>
      </c>
    </row>
    <row r="1875" spans="2:8">
      <c r="B1875" s="3">
        <v>45648</v>
      </c>
      <c r="C1875" t="s">
        <v>23</v>
      </c>
      <c r="D1875">
        <f>VLOOKUP(C1875,成本价!$C$2:$D$1000,2,0)*H1875</f>
        <v>6.24</v>
      </c>
      <c r="E1875">
        <f>6.59+6.59</f>
        <v>13.18</v>
      </c>
      <c r="G1875">
        <f t="shared" si="35"/>
        <v>6.94</v>
      </c>
      <c r="H1875">
        <v>3</v>
      </c>
    </row>
    <row r="1876" spans="2:8">
      <c r="B1876" s="3">
        <v>45648</v>
      </c>
      <c r="C1876" t="s">
        <v>28</v>
      </c>
      <c r="D1876">
        <f>VLOOKUP(C1876,成本价!$C$2:$D$1000,2,0)*H1876</f>
        <v>6.66</v>
      </c>
      <c r="E1876">
        <f>6.59+6.59</f>
        <v>13.18</v>
      </c>
      <c r="G1876">
        <f t="shared" si="35"/>
        <v>6.52</v>
      </c>
      <c r="H1876">
        <v>3</v>
      </c>
    </row>
    <row r="1877" spans="2:8">
      <c r="B1877" s="3">
        <v>45648</v>
      </c>
      <c r="C1877" t="s">
        <v>33</v>
      </c>
      <c r="D1877">
        <f>VLOOKUP(C1877,成本价!$C$2:$D$1000,2,0)*H1877</f>
        <v>1.7</v>
      </c>
      <c r="E1877">
        <v>7.31</v>
      </c>
      <c r="G1877">
        <f t="shared" si="35"/>
        <v>5.61</v>
      </c>
      <c r="H1877">
        <v>1</v>
      </c>
    </row>
    <row r="1878" spans="2:8">
      <c r="B1878" s="3">
        <v>45648</v>
      </c>
      <c r="C1878" t="s">
        <v>33</v>
      </c>
      <c r="D1878">
        <f>VLOOKUP(C1878,成本价!$C$2:$D$1000,2,0)*H1878</f>
        <v>2.55</v>
      </c>
      <c r="E1878">
        <v>5.09</v>
      </c>
      <c r="G1878">
        <f t="shared" si="35"/>
        <v>2.54</v>
      </c>
      <c r="H1878">
        <v>1.5</v>
      </c>
    </row>
    <row r="1879" spans="2:8">
      <c r="B1879" s="3">
        <v>45648</v>
      </c>
      <c r="C1879" t="s">
        <v>56</v>
      </c>
      <c r="D1879">
        <f>VLOOKUP(C1879,成本价!$C$2:$D$1000,2,0)*H1879</f>
        <v>3.483</v>
      </c>
      <c r="E1879">
        <v>13.67</v>
      </c>
      <c r="G1879">
        <f t="shared" si="35"/>
        <v>10.187</v>
      </c>
      <c r="H1879">
        <v>3</v>
      </c>
    </row>
    <row r="1880" spans="2:8">
      <c r="B1880" s="3">
        <v>45648</v>
      </c>
      <c r="C1880" t="s">
        <v>114</v>
      </c>
      <c r="D1880">
        <f>VLOOKUP(C1880,成本价!$C$2:$D$1000,2,0)*H1880</f>
        <v>0.2304</v>
      </c>
      <c r="E1880">
        <v>4.29</v>
      </c>
      <c r="G1880">
        <f t="shared" si="35"/>
        <v>4.0596</v>
      </c>
      <c r="H1880">
        <v>1</v>
      </c>
    </row>
    <row r="1881" spans="2:8">
      <c r="B1881" s="3">
        <v>45648</v>
      </c>
      <c r="C1881" t="s">
        <v>55</v>
      </c>
      <c r="D1881">
        <f>VLOOKUP(C1881,成本价!$C$2:$D$1000,2,0)*H1881</f>
        <v>3.513</v>
      </c>
      <c r="E1881">
        <v>12.25</v>
      </c>
      <c r="G1881">
        <f t="shared" si="35"/>
        <v>8.737</v>
      </c>
      <c r="H1881">
        <v>3</v>
      </c>
    </row>
    <row r="1882" spans="2:8">
      <c r="B1882" s="3">
        <v>45648</v>
      </c>
      <c r="C1882" t="s">
        <v>97</v>
      </c>
      <c r="D1882">
        <f>VLOOKUP(C1882,成本价!$C$2:$D$1000,2,0)*H1882</f>
        <v>4.5</v>
      </c>
      <c r="E1882">
        <v>14.84</v>
      </c>
      <c r="G1882">
        <f t="shared" si="35"/>
        <v>10.34</v>
      </c>
      <c r="H1882">
        <v>1</v>
      </c>
    </row>
    <row r="1883" spans="2:8">
      <c r="B1883" s="3">
        <v>45648</v>
      </c>
      <c r="C1883" t="s">
        <v>77</v>
      </c>
      <c r="D1883">
        <f>VLOOKUP(C1883,成本价!$C$2:$D$1000,2,0)*H1883</f>
        <v>0.4032</v>
      </c>
      <c r="E1883">
        <v>6.57</v>
      </c>
      <c r="G1883">
        <f t="shared" si="35"/>
        <v>6.1668</v>
      </c>
      <c r="H1883">
        <v>1</v>
      </c>
    </row>
    <row r="1884" spans="2:8">
      <c r="B1884" s="3">
        <v>45648</v>
      </c>
      <c r="C1884" t="s">
        <v>59</v>
      </c>
      <c r="D1884">
        <f>VLOOKUP(C1884,成本价!$C$2:$D$1000,2,0)*H1884</f>
        <v>8.7</v>
      </c>
      <c r="E1884">
        <v>29.51</v>
      </c>
      <c r="G1884">
        <f t="shared" si="35"/>
        <v>20.81</v>
      </c>
      <c r="H1884">
        <v>1</v>
      </c>
    </row>
    <row r="1885" spans="2:8">
      <c r="B1885" s="3">
        <v>45648</v>
      </c>
      <c r="C1885" t="s">
        <v>55</v>
      </c>
      <c r="D1885">
        <f>VLOOKUP(C1885,成本价!$C$2:$D$1000,2,0)*H1885</f>
        <v>3.513</v>
      </c>
      <c r="E1885">
        <v>12.25</v>
      </c>
      <c r="G1885">
        <f t="shared" si="35"/>
        <v>8.737</v>
      </c>
      <c r="H1885">
        <v>3</v>
      </c>
    </row>
    <row r="1886" spans="2:10">
      <c r="B1886" s="3">
        <v>45648</v>
      </c>
      <c r="C1886" t="s">
        <v>64</v>
      </c>
      <c r="D1886">
        <f>VLOOKUP(C1886,成本价!$C$2:$D$1000,2,0)*H1886</f>
        <v>6.38</v>
      </c>
      <c r="E1886">
        <v>13.95</v>
      </c>
      <c r="G1886">
        <f t="shared" si="35"/>
        <v>7.57</v>
      </c>
      <c r="H1886">
        <v>1</v>
      </c>
      <c r="J1886" s="2" t="s">
        <v>74</v>
      </c>
    </row>
    <row r="1887" spans="2:10">
      <c r="B1887" s="3">
        <v>45648</v>
      </c>
      <c r="C1887" t="s">
        <v>75</v>
      </c>
      <c r="D1887">
        <f>VLOOKUP(C1887,成本价!$C$2:$D$1000,2,0)*H1887</f>
        <v>15.12</v>
      </c>
      <c r="E1887">
        <v>40.56</v>
      </c>
      <c r="G1887">
        <f t="shared" si="35"/>
        <v>25.44</v>
      </c>
      <c r="H1887">
        <v>1</v>
      </c>
      <c r="J1887" s="2" t="s">
        <v>74</v>
      </c>
    </row>
    <row r="1888" spans="2:10">
      <c r="B1888" s="3">
        <v>45648</v>
      </c>
      <c r="C1888" t="s">
        <v>92</v>
      </c>
      <c r="D1888">
        <f>VLOOKUP(C1888,成本价!$C$2:$D$1000,2,0)*H1888</f>
        <v>3</v>
      </c>
      <c r="G1888">
        <f t="shared" si="35"/>
        <v>-3</v>
      </c>
      <c r="H1888">
        <v>1</v>
      </c>
      <c r="J1888" s="2" t="s">
        <v>74</v>
      </c>
    </row>
    <row r="1889" spans="2:10">
      <c r="B1889" s="3">
        <v>45648</v>
      </c>
      <c r="C1889" t="s">
        <v>23</v>
      </c>
      <c r="D1889">
        <f>VLOOKUP(C1889,成本价!$C$2:$D$1000,2,0)*H1889</f>
        <v>2.08</v>
      </c>
      <c r="E1889">
        <v>6.89</v>
      </c>
      <c r="G1889">
        <f t="shared" si="35"/>
        <v>4.81</v>
      </c>
      <c r="H1889">
        <v>1</v>
      </c>
      <c r="J1889" s="2" t="s">
        <v>74</v>
      </c>
    </row>
    <row r="1890" spans="2:10">
      <c r="B1890" s="3">
        <v>45648</v>
      </c>
      <c r="C1890" t="s">
        <v>62</v>
      </c>
      <c r="D1890">
        <f>VLOOKUP(C1890,成本价!$C$2:$D$1000,2,0)*H1890</f>
        <v>6.96</v>
      </c>
      <c r="E1890">
        <v>24.09</v>
      </c>
      <c r="G1890">
        <f t="shared" si="35"/>
        <v>17.13</v>
      </c>
      <c r="H1890">
        <v>1</v>
      </c>
      <c r="J1890" s="2" t="s">
        <v>74</v>
      </c>
    </row>
    <row r="1891" spans="2:10">
      <c r="B1891" s="3">
        <v>45648</v>
      </c>
      <c r="C1891" t="s">
        <v>112</v>
      </c>
      <c r="D1891">
        <f>VLOOKUP(C1891,成本价!$C$2:$D$1000,2,0)*H1891</f>
        <v>2.2</v>
      </c>
      <c r="G1891">
        <f t="shared" si="35"/>
        <v>-2.2</v>
      </c>
      <c r="H1891">
        <f>1/3*2</f>
        <v>0.666666666666667</v>
      </c>
      <c r="J1891" s="2" t="s">
        <v>74</v>
      </c>
    </row>
    <row r="1892" spans="9:9">
      <c r="I1892">
        <f>110.64+33.99</f>
        <v>144.63</v>
      </c>
    </row>
    <row r="1893" spans="2:8">
      <c r="B1893" s="3">
        <v>45649</v>
      </c>
      <c r="C1893" t="s">
        <v>87</v>
      </c>
      <c r="D1893">
        <f>VLOOKUP(C1893,成本价!$C$2:$D$1000,2,0)*H1893</f>
        <v>5.7375</v>
      </c>
      <c r="E1893">
        <f>13.78+5.45+5.45+7.9+7.9</f>
        <v>40.48</v>
      </c>
      <c r="F1893">
        <v>91</v>
      </c>
      <c r="G1893">
        <f t="shared" si="35"/>
        <v>34.7425</v>
      </c>
      <c r="H1893">
        <f>15+9+9+9+3</f>
        <v>45</v>
      </c>
    </row>
    <row r="1894" spans="2:8">
      <c r="B1894" s="3">
        <v>45649</v>
      </c>
      <c r="C1894" t="s">
        <v>88</v>
      </c>
      <c r="D1894">
        <f>VLOOKUP(C1894,成本价!$C$2:$D$1000,2,0)*H1894</f>
        <v>3.51</v>
      </c>
      <c r="G1894">
        <f t="shared" si="35"/>
        <v>-3.51</v>
      </c>
      <c r="H1894">
        <f>9+3+9+5</f>
        <v>26</v>
      </c>
    </row>
    <row r="1895" spans="2:8">
      <c r="B1895" s="3">
        <v>45649</v>
      </c>
      <c r="C1895" t="s">
        <v>109</v>
      </c>
      <c r="D1895">
        <f>VLOOKUP(C1895,成本价!$C$2:$D$1000,2,0)*H1895</f>
        <v>4.6125</v>
      </c>
      <c r="E1895">
        <f>6.81+6.81+6.81+6.81+6.81</f>
        <v>34.05</v>
      </c>
      <c r="G1895">
        <f t="shared" si="35"/>
        <v>29.4375</v>
      </c>
      <c r="H1895">
        <v>5</v>
      </c>
    </row>
    <row r="1896" spans="2:8">
      <c r="B1896" s="3">
        <v>45649</v>
      </c>
      <c r="C1896" t="s">
        <v>55</v>
      </c>
      <c r="D1896">
        <f>VLOOKUP(C1896,成本价!$C$2:$D$1000,2,0)*H1896</f>
        <v>3.513</v>
      </c>
      <c r="E1896">
        <v>12.25</v>
      </c>
      <c r="G1896">
        <f t="shared" ref="G1896:G1959" si="36">E1896-D1896</f>
        <v>8.737</v>
      </c>
      <c r="H1896">
        <v>3</v>
      </c>
    </row>
    <row r="1897" spans="2:8">
      <c r="B1897" s="3">
        <v>45649</v>
      </c>
      <c r="C1897" t="s">
        <v>36</v>
      </c>
      <c r="D1897">
        <f>VLOOKUP(C1897,成本价!$C$2:$D$1000,2,0)*H1897</f>
        <v>3.48</v>
      </c>
      <c r="E1897">
        <v>5.08</v>
      </c>
      <c r="G1897">
        <f t="shared" si="36"/>
        <v>1.6</v>
      </c>
      <c r="H1897">
        <v>1.5</v>
      </c>
    </row>
    <row r="1898" spans="2:8">
      <c r="B1898" s="3">
        <v>45649</v>
      </c>
      <c r="C1898" t="s">
        <v>37</v>
      </c>
      <c r="D1898">
        <f>VLOOKUP(C1898,成本价!$C$2:$D$1000,2,0)*H1898</f>
        <v>3.81</v>
      </c>
      <c r="E1898">
        <v>5.08</v>
      </c>
      <c r="G1898">
        <f t="shared" si="36"/>
        <v>1.27</v>
      </c>
      <c r="H1898">
        <v>1.5</v>
      </c>
    </row>
    <row r="1899" spans="2:8">
      <c r="B1899" s="3">
        <v>45649</v>
      </c>
      <c r="C1899" t="s">
        <v>12</v>
      </c>
      <c r="D1899">
        <f>VLOOKUP(C1899,成本价!$C$2:$D$1000,2,0)*H1899</f>
        <v>0.774</v>
      </c>
      <c r="E1899">
        <v>8.9</v>
      </c>
      <c r="G1899">
        <f t="shared" si="36"/>
        <v>8.126</v>
      </c>
      <c r="H1899">
        <v>2</v>
      </c>
    </row>
    <row r="1900" spans="2:8">
      <c r="B1900" s="3">
        <v>45649</v>
      </c>
      <c r="C1900" t="s">
        <v>44</v>
      </c>
      <c r="D1900">
        <f>VLOOKUP(C1900,成本价!$C$2:$D$1000,2,0)*H1900</f>
        <v>0.397</v>
      </c>
      <c r="G1900">
        <f t="shared" si="36"/>
        <v>-0.397</v>
      </c>
      <c r="H1900">
        <v>1</v>
      </c>
    </row>
    <row r="1901" spans="2:8">
      <c r="B1901" s="3">
        <v>45649</v>
      </c>
      <c r="C1901" t="s">
        <v>58</v>
      </c>
      <c r="D1901">
        <f>VLOOKUP(C1901,成本价!$C$2:$D$1000,2,0)*H1901</f>
        <v>8.4</v>
      </c>
      <c r="E1901">
        <v>18.79</v>
      </c>
      <c r="G1901">
        <f t="shared" si="36"/>
        <v>10.39</v>
      </c>
      <c r="H1901">
        <v>1</v>
      </c>
    </row>
    <row r="1902" spans="2:8">
      <c r="B1902" s="3">
        <v>45649</v>
      </c>
      <c r="C1902" t="s">
        <v>55</v>
      </c>
      <c r="D1902">
        <f>VLOOKUP(C1902,成本价!$C$2:$D$1000,2,0)*H1902</f>
        <v>3.513</v>
      </c>
      <c r="E1902">
        <v>12.25</v>
      </c>
      <c r="G1902">
        <f t="shared" si="36"/>
        <v>8.737</v>
      </c>
      <c r="H1902">
        <v>3</v>
      </c>
    </row>
    <row r="1903" spans="2:8">
      <c r="B1903" s="3">
        <v>45649</v>
      </c>
      <c r="C1903" t="s">
        <v>23</v>
      </c>
      <c r="D1903">
        <f>VLOOKUP(C1903,成本价!$C$2:$D$1000,2,0)*H1903</f>
        <v>3.12</v>
      </c>
      <c r="E1903">
        <v>5.08</v>
      </c>
      <c r="G1903">
        <f t="shared" si="36"/>
        <v>1.96</v>
      </c>
      <c r="H1903">
        <v>1.5</v>
      </c>
    </row>
    <row r="1904" spans="2:8">
      <c r="B1904" s="3">
        <v>45649</v>
      </c>
      <c r="C1904" t="s">
        <v>27</v>
      </c>
      <c r="D1904">
        <f>VLOOKUP(C1904,成本价!$C$2:$D$1000,2,0)*H1904</f>
        <v>1.8</v>
      </c>
      <c r="E1904">
        <v>7.31</v>
      </c>
      <c r="G1904">
        <f t="shared" si="36"/>
        <v>5.51</v>
      </c>
      <c r="H1904">
        <v>1</v>
      </c>
    </row>
    <row r="1905" spans="2:10">
      <c r="B1905" s="3">
        <v>45649</v>
      </c>
      <c r="C1905" t="s">
        <v>57</v>
      </c>
      <c r="D1905">
        <f>VLOOKUP(C1905,成本价!$C$2:$D$1000,2,0)*H1905</f>
        <v>8.9</v>
      </c>
      <c r="E1905">
        <v>28.81</v>
      </c>
      <c r="G1905">
        <f t="shared" si="36"/>
        <v>19.91</v>
      </c>
      <c r="H1905">
        <v>1</v>
      </c>
      <c r="J1905" s="2" t="s">
        <v>74</v>
      </c>
    </row>
    <row r="1906" spans="2:10">
      <c r="B1906" s="3">
        <v>45649</v>
      </c>
      <c r="C1906" t="s">
        <v>90</v>
      </c>
      <c r="D1906">
        <f>VLOOKUP(C1906,成本价!$C$2:$D$1000,2,0)*H1906</f>
        <v>2.6</v>
      </c>
      <c r="G1906">
        <f t="shared" si="36"/>
        <v>-2.6</v>
      </c>
      <c r="H1906">
        <v>1</v>
      </c>
      <c r="J1906" s="2" t="s">
        <v>74</v>
      </c>
    </row>
    <row r="1907" spans="2:10">
      <c r="B1907" s="3">
        <v>45649</v>
      </c>
      <c r="C1907" t="s">
        <v>65</v>
      </c>
      <c r="D1907">
        <f>VLOOKUP(C1907,成本价!$C$2:$D$1000,2,0)*H1907</f>
        <v>5.3</v>
      </c>
      <c r="E1907">
        <v>15.63</v>
      </c>
      <c r="G1907">
        <f t="shared" si="36"/>
        <v>10.33</v>
      </c>
      <c r="H1907">
        <v>1</v>
      </c>
      <c r="J1907" s="2" t="s">
        <v>74</v>
      </c>
    </row>
    <row r="1908" spans="2:10">
      <c r="B1908" s="3">
        <v>45649</v>
      </c>
      <c r="C1908" t="s">
        <v>54</v>
      </c>
      <c r="D1908">
        <f>VLOOKUP(C1908,成本价!$C$2:$D$1000,2,0)*H1908</f>
        <v>14.7</v>
      </c>
      <c r="E1908">
        <v>28.57</v>
      </c>
      <c r="G1908">
        <f t="shared" si="36"/>
        <v>13.87</v>
      </c>
      <c r="H1908">
        <v>1</v>
      </c>
      <c r="J1908" s="2" t="s">
        <v>74</v>
      </c>
    </row>
    <row r="1909" spans="2:10">
      <c r="B1909" s="3">
        <v>45649</v>
      </c>
      <c r="C1909" t="s">
        <v>59</v>
      </c>
      <c r="D1909">
        <f>VLOOKUP(C1909,成本价!$C$2:$D$1000,2,0)*H1909</f>
        <v>8.7</v>
      </c>
      <c r="E1909">
        <v>21.61</v>
      </c>
      <c r="G1909">
        <f t="shared" si="36"/>
        <v>12.91</v>
      </c>
      <c r="H1909">
        <v>1</v>
      </c>
      <c r="J1909" s="2" t="s">
        <v>74</v>
      </c>
    </row>
    <row r="1910" spans="2:10">
      <c r="B1910" s="3">
        <v>45649</v>
      </c>
      <c r="C1910" t="s">
        <v>90</v>
      </c>
      <c r="D1910">
        <f>VLOOKUP(C1910,成本价!$C$2:$D$1000,2,0)*H1910</f>
        <v>2.6</v>
      </c>
      <c r="G1910">
        <f t="shared" si="36"/>
        <v>-2.6</v>
      </c>
      <c r="H1910">
        <v>1</v>
      </c>
      <c r="J1910" s="2" t="s">
        <v>74</v>
      </c>
    </row>
    <row r="1911" spans="9:9">
      <c r="I1911">
        <f>58.6+32.49</f>
        <v>91.09</v>
      </c>
    </row>
    <row r="1912" spans="2:8">
      <c r="B1912" s="3">
        <v>45650</v>
      </c>
      <c r="C1912" t="s">
        <v>87</v>
      </c>
      <c r="D1912">
        <f>VLOOKUP(C1912,成本价!$C$2:$D$1000,2,0)*H1912</f>
        <v>10.71</v>
      </c>
      <c r="E1912">
        <f>6.81+10.9+7.9+10.9+10.9+6.81+13.78+13.78+6.81+6.81+6.81+13.78+13.78</f>
        <v>129.77</v>
      </c>
      <c r="F1912">
        <v>84</v>
      </c>
      <c r="G1912">
        <f t="shared" si="36"/>
        <v>119.06</v>
      </c>
      <c r="H1912">
        <f>8+4+6+9+4+8+6+9+9+9+6+6</f>
        <v>84</v>
      </c>
    </row>
    <row r="1913" spans="2:8">
      <c r="B1913" s="3">
        <v>45650</v>
      </c>
      <c r="C1913" t="s">
        <v>88</v>
      </c>
      <c r="D1913">
        <f>VLOOKUP(C1913,成本价!$C$2:$D$1000,2,0)*H1913</f>
        <v>11.205</v>
      </c>
      <c r="G1913">
        <f t="shared" si="36"/>
        <v>-11.205</v>
      </c>
      <c r="H1913">
        <f>3+3+3+3+12+16+3+9+3+16+12</f>
        <v>83</v>
      </c>
    </row>
    <row r="1914" spans="2:8">
      <c r="B1914" s="3">
        <v>45650</v>
      </c>
      <c r="C1914" t="s">
        <v>109</v>
      </c>
      <c r="D1914">
        <f>VLOOKUP(C1914,成本价!$C$2:$D$1000,2,0)*H1914</f>
        <v>0.9225</v>
      </c>
      <c r="E1914">
        <v>6.81</v>
      </c>
      <c r="G1914">
        <f t="shared" si="36"/>
        <v>5.8875</v>
      </c>
      <c r="H1914">
        <f>1</f>
        <v>1</v>
      </c>
    </row>
    <row r="1915" spans="2:8">
      <c r="B1915" s="3">
        <v>45650</v>
      </c>
      <c r="C1915" t="s">
        <v>33</v>
      </c>
      <c r="D1915">
        <f>VLOOKUP(C1915,成本价!$C$2:$D$1000,2,0)*H1915</f>
        <v>1.7</v>
      </c>
      <c r="E1915">
        <v>7.53</v>
      </c>
      <c r="G1915">
        <f t="shared" si="36"/>
        <v>5.83</v>
      </c>
      <c r="H1915">
        <v>1</v>
      </c>
    </row>
    <row r="1916" spans="2:8">
      <c r="B1916" s="3">
        <v>45650</v>
      </c>
      <c r="C1916" t="s">
        <v>57</v>
      </c>
      <c r="D1916">
        <f>VLOOKUP(C1916,成本价!$C$2:$D$1000,2,0)*H1916</f>
        <v>8.9</v>
      </c>
      <c r="E1916">
        <v>29.16</v>
      </c>
      <c r="G1916">
        <f t="shared" si="36"/>
        <v>20.26</v>
      </c>
      <c r="H1916">
        <f t="shared" ref="H1916:H1921" si="37">1</f>
        <v>1</v>
      </c>
    </row>
    <row r="1917" spans="2:8">
      <c r="B1917" s="3">
        <v>45650</v>
      </c>
      <c r="C1917" t="s">
        <v>90</v>
      </c>
      <c r="D1917">
        <f>VLOOKUP(C1917,成本价!$C$2:$D$1000,2,0)*H1917</f>
        <v>2.6</v>
      </c>
      <c r="G1917">
        <f t="shared" si="36"/>
        <v>-2.6</v>
      </c>
      <c r="H1917">
        <f t="shared" si="37"/>
        <v>1</v>
      </c>
    </row>
    <row r="1918" spans="2:8">
      <c r="B1918" s="3">
        <v>45650</v>
      </c>
      <c r="C1918" t="s">
        <v>50</v>
      </c>
      <c r="D1918">
        <f>VLOOKUP(C1918,成本价!$C$2:$D$1000,2,0)*H1918</f>
        <v>2.749</v>
      </c>
      <c r="E1918">
        <v>11.51</v>
      </c>
      <c r="G1918">
        <f t="shared" si="36"/>
        <v>8.761</v>
      </c>
      <c r="H1918">
        <f t="shared" si="37"/>
        <v>1</v>
      </c>
    </row>
    <row r="1919" spans="2:8">
      <c r="B1919" s="3">
        <v>45650</v>
      </c>
      <c r="C1919" t="s">
        <v>64</v>
      </c>
      <c r="D1919">
        <f>VLOOKUP(C1919,成本价!$C$2:$D$1000,2,0)*H1919</f>
        <v>6.38</v>
      </c>
      <c r="E1919">
        <v>18.25</v>
      </c>
      <c r="G1919">
        <f t="shared" si="36"/>
        <v>11.87</v>
      </c>
      <c r="H1919">
        <f t="shared" si="37"/>
        <v>1</v>
      </c>
    </row>
    <row r="1920" spans="2:8">
      <c r="B1920" s="3">
        <v>45650</v>
      </c>
      <c r="C1920" t="s">
        <v>49</v>
      </c>
      <c r="D1920">
        <f>VLOOKUP(C1920,成本价!$C$2:$D$1000,2,0)*H1920</f>
        <v>1.975</v>
      </c>
      <c r="E1920">
        <v>10.25</v>
      </c>
      <c r="G1920">
        <f t="shared" si="36"/>
        <v>8.275</v>
      </c>
      <c r="H1920">
        <f t="shared" si="37"/>
        <v>1</v>
      </c>
    </row>
    <row r="1921" spans="2:8">
      <c r="B1921" s="3">
        <v>45650</v>
      </c>
      <c r="C1921" t="s">
        <v>50</v>
      </c>
      <c r="D1921">
        <f>VLOOKUP(C1921,成本价!$C$2:$D$1000,2,0)*H1921</f>
        <v>2.749</v>
      </c>
      <c r="E1921">
        <v>11.51</v>
      </c>
      <c r="G1921">
        <f t="shared" si="36"/>
        <v>8.761</v>
      </c>
      <c r="H1921">
        <f t="shared" si="37"/>
        <v>1</v>
      </c>
    </row>
    <row r="1922" spans="2:11">
      <c r="B1922" s="3"/>
      <c r="I1922">
        <f>85.78+24.13</f>
        <v>109.91</v>
      </c>
      <c r="K1922">
        <f>174.8995-109.91-84</f>
        <v>-19.0105</v>
      </c>
    </row>
    <row r="1923" spans="2:8">
      <c r="B1923" s="3">
        <v>45651</v>
      </c>
      <c r="C1923" t="s">
        <v>56</v>
      </c>
      <c r="D1923">
        <f>VLOOKUP(C1923,成本价!$C$2:$D$1000,2,0)*H1923</f>
        <v>3.483</v>
      </c>
      <c r="E1923">
        <v>13.22</v>
      </c>
      <c r="F1923">
        <v>84</v>
      </c>
      <c r="G1923">
        <f t="shared" si="36"/>
        <v>9.737</v>
      </c>
      <c r="H1923">
        <v>3</v>
      </c>
    </row>
    <row r="1924" spans="2:8">
      <c r="B1924" s="3">
        <v>45651</v>
      </c>
      <c r="C1924" t="s">
        <v>87</v>
      </c>
      <c r="D1924">
        <f>VLOOKUP(C1924,成本价!$C$2:$D$1000,2,0)*H1924</f>
        <v>6.63</v>
      </c>
      <c r="E1924">
        <f>6.81+6.81+6.81+7.9+6.81+13.78+7.9+10.9+7.9</f>
        <v>75.62</v>
      </c>
      <c r="G1924">
        <f t="shared" si="36"/>
        <v>68.99</v>
      </c>
      <c r="H1924">
        <f>6+9+3+4+9+18+3</f>
        <v>52</v>
      </c>
    </row>
    <row r="1925" spans="2:8">
      <c r="B1925" s="3">
        <v>45651</v>
      </c>
      <c r="C1925" t="s">
        <v>88</v>
      </c>
      <c r="D1925">
        <f>VLOOKUP(C1925,成本价!$C$2:$D$1000,2,0)*H1925</f>
        <v>9.045</v>
      </c>
      <c r="G1925">
        <f t="shared" si="36"/>
        <v>-9.045</v>
      </c>
      <c r="H1925">
        <f>3+9+9+9+3+6+16+3+9</f>
        <v>67</v>
      </c>
    </row>
    <row r="1926" spans="2:8">
      <c r="B1926" s="3">
        <v>45651</v>
      </c>
      <c r="C1926" t="s">
        <v>109</v>
      </c>
      <c r="D1926">
        <f>VLOOKUP(C1926,成本价!$C$2:$D$1000,2,0)*H1926</f>
        <v>1.845</v>
      </c>
      <c r="E1926">
        <f>6.81*2</f>
        <v>13.62</v>
      </c>
      <c r="G1926">
        <f t="shared" si="36"/>
        <v>11.775</v>
      </c>
      <c r="H1926">
        <f>1+1</f>
        <v>2</v>
      </c>
    </row>
    <row r="1927" spans="2:8">
      <c r="B1927" s="3">
        <v>45651</v>
      </c>
      <c r="C1927" t="s">
        <v>43</v>
      </c>
      <c r="D1927">
        <f>VLOOKUP(C1927,成本价!$C$2:$D$1000,2,0)*H1927</f>
        <v>3.03</v>
      </c>
      <c r="E1927">
        <v>6.9</v>
      </c>
      <c r="G1927">
        <f t="shared" si="36"/>
        <v>3.87</v>
      </c>
      <c r="H1927">
        <v>1.5</v>
      </c>
    </row>
    <row r="1928" spans="2:8">
      <c r="B1928" s="3">
        <v>45651</v>
      </c>
      <c r="C1928" t="s">
        <v>50</v>
      </c>
      <c r="D1928">
        <f>VLOOKUP(C1928,成本价!$C$2:$D$1000,2,0)*H1928</f>
        <v>2.749</v>
      </c>
      <c r="E1928">
        <v>11.51</v>
      </c>
      <c r="G1928">
        <f t="shared" si="36"/>
        <v>8.761</v>
      </c>
      <c r="H1928">
        <f>1</f>
        <v>1</v>
      </c>
    </row>
    <row r="1929" spans="2:8">
      <c r="B1929" s="3">
        <v>45651</v>
      </c>
      <c r="C1929" t="s">
        <v>58</v>
      </c>
      <c r="D1929">
        <f>VLOOKUP(C1929,成本价!$C$2:$D$1000,2,0)*H1929</f>
        <v>8.4</v>
      </c>
      <c r="E1929">
        <v>17.6</v>
      </c>
      <c r="G1929">
        <f t="shared" si="36"/>
        <v>9.2</v>
      </c>
      <c r="H1929">
        <f>1</f>
        <v>1</v>
      </c>
    </row>
    <row r="1930" spans="2:8">
      <c r="B1930" s="3">
        <v>45651</v>
      </c>
      <c r="C1930" t="s">
        <v>33</v>
      </c>
      <c r="D1930">
        <f>VLOOKUP(C1930,成本价!$C$2:$D$1000,2,0)*H1930</f>
        <v>3.4</v>
      </c>
      <c r="E1930">
        <v>27.17</v>
      </c>
      <c r="G1930">
        <f t="shared" si="36"/>
        <v>23.77</v>
      </c>
      <c r="H1930">
        <v>2</v>
      </c>
    </row>
    <row r="1931" spans="2:8">
      <c r="B1931" s="3">
        <v>45651</v>
      </c>
      <c r="C1931" t="s">
        <v>27</v>
      </c>
      <c r="D1931">
        <f>VLOOKUP(C1931,成本价!$C$2:$D$1000,2,0)*H1931</f>
        <v>5.4</v>
      </c>
      <c r="G1931">
        <f t="shared" si="36"/>
        <v>-5.4</v>
      </c>
      <c r="H1931">
        <v>3</v>
      </c>
    </row>
    <row r="1932" spans="2:8">
      <c r="B1932" s="3">
        <v>45651</v>
      </c>
      <c r="C1932" t="s">
        <v>90</v>
      </c>
      <c r="D1932">
        <f>VLOOKUP(C1932,成本价!$C$2:$D$1000,2,0)*H1932</f>
        <v>2.6</v>
      </c>
      <c r="G1932">
        <f t="shared" si="36"/>
        <v>-2.6</v>
      </c>
      <c r="H1932">
        <f>1</f>
        <v>1</v>
      </c>
    </row>
    <row r="1933" spans="2:8">
      <c r="B1933" s="3">
        <v>45651</v>
      </c>
      <c r="C1933" t="s">
        <v>94</v>
      </c>
      <c r="D1933">
        <f>VLOOKUP(C1933,成本价!$C$2:$D$1000,2,0)*H1933</f>
        <v>3.9</v>
      </c>
      <c r="G1933">
        <f t="shared" si="36"/>
        <v>-3.9</v>
      </c>
      <c r="H1933">
        <f>1</f>
        <v>1</v>
      </c>
    </row>
    <row r="1934" spans="2:8">
      <c r="B1934" s="3">
        <v>45651</v>
      </c>
      <c r="C1934" t="s">
        <v>55</v>
      </c>
      <c r="D1934">
        <f>VLOOKUP(C1934,成本价!$C$2:$D$1000,2,0)*H1934</f>
        <v>3.513</v>
      </c>
      <c r="E1934">
        <v>13.25</v>
      </c>
      <c r="G1934">
        <f t="shared" si="36"/>
        <v>9.737</v>
      </c>
      <c r="H1934">
        <v>3</v>
      </c>
    </row>
    <row r="1935" spans="2:8">
      <c r="B1935" s="3">
        <v>45651</v>
      </c>
      <c r="C1935" t="s">
        <v>55</v>
      </c>
      <c r="D1935">
        <f>VLOOKUP(C1935,成本价!$C$2:$D$1000,2,0)*H1935</f>
        <v>3.513</v>
      </c>
      <c r="E1935">
        <v>13.25</v>
      </c>
      <c r="G1935">
        <f t="shared" si="36"/>
        <v>9.737</v>
      </c>
      <c r="H1935">
        <v>3</v>
      </c>
    </row>
    <row r="1936" spans="2:8">
      <c r="B1936" s="3">
        <v>45651</v>
      </c>
      <c r="C1936" t="s">
        <v>63</v>
      </c>
      <c r="D1936">
        <f>VLOOKUP(C1936,成本价!$C$2:$D$1000,2,0)*H1936</f>
        <v>5.1</v>
      </c>
      <c r="E1936">
        <v>18.8</v>
      </c>
      <c r="G1936">
        <f t="shared" si="36"/>
        <v>13.7</v>
      </c>
      <c r="H1936">
        <f>1</f>
        <v>1</v>
      </c>
    </row>
    <row r="1937" spans="2:8">
      <c r="B1937" s="3">
        <v>45651</v>
      </c>
      <c r="C1937" t="s">
        <v>33</v>
      </c>
      <c r="D1937">
        <f>VLOOKUP(C1937,成本价!$C$2:$D$1000,2,0)*H1937</f>
        <v>2.975</v>
      </c>
      <c r="E1937">
        <f>4.28*7</f>
        <v>29.96</v>
      </c>
      <c r="G1937">
        <f t="shared" si="36"/>
        <v>26.985</v>
      </c>
      <c r="H1937">
        <f>1/4*7</f>
        <v>1.75</v>
      </c>
    </row>
    <row r="1938" spans="2:8">
      <c r="B1938" s="3">
        <v>45651</v>
      </c>
      <c r="C1938" t="s">
        <v>23</v>
      </c>
      <c r="D1938">
        <f>VLOOKUP(C1938,成本价!$C$2:$D$1000,2,0)*H1938</f>
        <v>3.12</v>
      </c>
      <c r="E1938">
        <v>6.9</v>
      </c>
      <c r="G1938">
        <f t="shared" si="36"/>
        <v>3.78</v>
      </c>
      <c r="H1938">
        <v>1.5</v>
      </c>
    </row>
    <row r="1939" spans="2:8">
      <c r="B1939" s="3">
        <v>45651</v>
      </c>
      <c r="C1939" t="s">
        <v>40</v>
      </c>
      <c r="D1939">
        <f>VLOOKUP(C1939,成本价!$C$2:$D$1000,2,0)*H1939</f>
        <v>2.82</v>
      </c>
      <c r="E1939">
        <v>6.9</v>
      </c>
      <c r="G1939">
        <f t="shared" si="36"/>
        <v>4.08</v>
      </c>
      <c r="H1939">
        <v>1.5</v>
      </c>
    </row>
    <row r="1940" spans="2:8">
      <c r="B1940" s="3">
        <v>45651</v>
      </c>
      <c r="C1940" t="s">
        <v>55</v>
      </c>
      <c r="D1940">
        <f>VLOOKUP(C1940,成本价!$C$2:$D$1000,2,0)*H1940</f>
        <v>3.513</v>
      </c>
      <c r="E1940">
        <v>13.25</v>
      </c>
      <c r="G1940">
        <f t="shared" si="36"/>
        <v>9.737</v>
      </c>
      <c r="H1940">
        <v>3</v>
      </c>
    </row>
    <row r="1941" spans="2:8">
      <c r="B1941" s="3">
        <v>45651</v>
      </c>
      <c r="C1941" t="s">
        <v>71</v>
      </c>
      <c r="D1941">
        <f>VLOOKUP(C1941,成本价!$C$2:$D$1000,2,0)*H1941</f>
        <v>1.191</v>
      </c>
      <c r="E1941">
        <v>8.7</v>
      </c>
      <c r="G1941">
        <f t="shared" si="36"/>
        <v>7.509</v>
      </c>
      <c r="H1941">
        <f>1</f>
        <v>1</v>
      </c>
    </row>
    <row r="1942" spans="2:8">
      <c r="B1942" s="3">
        <v>45651</v>
      </c>
      <c r="C1942" t="s">
        <v>51</v>
      </c>
      <c r="D1942">
        <f>VLOOKUP(C1942,成本价!$C$2:$D$1000,2,0)*H1942</f>
        <v>9</v>
      </c>
      <c r="E1942">
        <v>17.6</v>
      </c>
      <c r="G1942">
        <f t="shared" si="36"/>
        <v>8.6</v>
      </c>
      <c r="H1942">
        <f>1</f>
        <v>1</v>
      </c>
    </row>
    <row r="1943" spans="2:8">
      <c r="B1943" s="3">
        <v>45651</v>
      </c>
      <c r="C1943" t="s">
        <v>40</v>
      </c>
      <c r="D1943">
        <f>VLOOKUP(C1943,成本价!$C$2:$D$1000,2,0)*H1943</f>
        <v>2.82</v>
      </c>
      <c r="E1943">
        <v>6.9</v>
      </c>
      <c r="G1943">
        <f t="shared" si="36"/>
        <v>4.08</v>
      </c>
      <c r="H1943">
        <v>1.5</v>
      </c>
    </row>
    <row r="1944" spans="2:8">
      <c r="B1944" s="3">
        <v>45651</v>
      </c>
      <c r="C1944" t="s">
        <v>52</v>
      </c>
      <c r="D1944">
        <f>VLOOKUP(C1944,成本价!$C$2:$D$1000,2,0)*H1944</f>
        <v>10.96</v>
      </c>
      <c r="E1944">
        <v>30.93</v>
      </c>
      <c r="G1944">
        <f t="shared" si="36"/>
        <v>19.97</v>
      </c>
      <c r="H1944">
        <f>1</f>
        <v>1</v>
      </c>
    </row>
    <row r="1945" spans="2:8">
      <c r="B1945" s="3">
        <v>45651</v>
      </c>
      <c r="C1945" t="s">
        <v>92</v>
      </c>
      <c r="D1945">
        <f>VLOOKUP(C1945,成本价!$C$2:$D$1000,2,0)*H1945</f>
        <v>6</v>
      </c>
      <c r="G1945">
        <f t="shared" si="36"/>
        <v>-6</v>
      </c>
      <c r="H1945">
        <v>2</v>
      </c>
    </row>
    <row r="1946" spans="2:10">
      <c r="B1946" s="3">
        <v>45651</v>
      </c>
      <c r="C1946" t="s">
        <v>98</v>
      </c>
      <c r="D1946">
        <f>VLOOKUP(C1946,成本价!$C$2:$D$1000,2,0)*H1946</f>
        <v>10.68</v>
      </c>
      <c r="E1946">
        <v>28.39</v>
      </c>
      <c r="G1946">
        <f t="shared" si="36"/>
        <v>17.71</v>
      </c>
      <c r="H1946">
        <v>1</v>
      </c>
      <c r="J1946" s="2" t="s">
        <v>74</v>
      </c>
    </row>
    <row r="1947" spans="2:10">
      <c r="B1947" s="3">
        <v>45651</v>
      </c>
      <c r="C1947" t="s">
        <v>60</v>
      </c>
      <c r="D1947">
        <f>VLOOKUP(C1947,成本价!$C$2:$D$1000,2,0)*H1947</f>
        <v>5.2</v>
      </c>
      <c r="E1947">
        <v>15.63</v>
      </c>
      <c r="G1947">
        <f t="shared" si="36"/>
        <v>10.43</v>
      </c>
      <c r="H1947">
        <v>1</v>
      </c>
      <c r="J1947" s="2" t="s">
        <v>74</v>
      </c>
    </row>
    <row r="1948" spans="9:9">
      <c r="I1948">
        <v>107.92</v>
      </c>
    </row>
    <row r="1949" spans="2:8">
      <c r="B1949" s="3">
        <v>45652</v>
      </c>
      <c r="C1949" t="s">
        <v>87</v>
      </c>
      <c r="D1949">
        <f>VLOOKUP(C1949,成本价!$C$2:$D$1000,2,0)*H1949</f>
        <v>13.6425</v>
      </c>
      <c r="E1949">
        <f>6.81+7.99+13.78+16.35+6.82+7.99+12.79+6.81+13.78+6.81+7.99+7.99+6.81+13.78+7.9+6.81+6.81</f>
        <v>158.02</v>
      </c>
      <c r="F1949">
        <v>73.5</v>
      </c>
      <c r="G1949">
        <f t="shared" si="36"/>
        <v>144.3775</v>
      </c>
      <c r="H1949">
        <f>6+3+9+8+9+6+9+5+6+6+9+9+4+9+9</f>
        <v>107</v>
      </c>
    </row>
    <row r="1950" spans="2:8">
      <c r="B1950" s="3">
        <v>45652</v>
      </c>
      <c r="C1950" t="s">
        <v>88</v>
      </c>
      <c r="D1950">
        <f>VLOOKUP(C1950,成本价!$C$2:$D$1000,2,0)*H1950</f>
        <v>14.31</v>
      </c>
      <c r="G1950">
        <f t="shared" si="36"/>
        <v>-14.31</v>
      </c>
      <c r="H1950">
        <f>3+6+3+12+3+3+9+15+3+18+3+9+16+3</f>
        <v>106</v>
      </c>
    </row>
    <row r="1951" spans="2:8">
      <c r="B1951" s="3">
        <v>45652</v>
      </c>
      <c r="C1951" t="s">
        <v>109</v>
      </c>
      <c r="D1951">
        <f>VLOOKUP(C1951,成本价!$C$2:$D$1000,2,0)*H1951</f>
        <v>1.845</v>
      </c>
      <c r="E1951">
        <f>10.9+6.81</f>
        <v>17.71</v>
      </c>
      <c r="G1951">
        <f t="shared" si="36"/>
        <v>15.865</v>
      </c>
      <c r="H1951">
        <v>2</v>
      </c>
    </row>
    <row r="1952" spans="2:8">
      <c r="B1952" s="3">
        <v>45652</v>
      </c>
      <c r="C1952" t="s">
        <v>40</v>
      </c>
      <c r="D1952">
        <f>VLOOKUP(C1952,成本价!$C$2:$D$1000,2,0)*H1952</f>
        <v>8.46</v>
      </c>
      <c r="E1952">
        <f>6.9+8.9*2</f>
        <v>24.7</v>
      </c>
      <c r="G1952">
        <f t="shared" si="36"/>
        <v>16.24</v>
      </c>
      <c r="H1952">
        <v>4.5</v>
      </c>
    </row>
    <row r="1953" spans="2:8">
      <c r="B1953" s="3">
        <v>45652</v>
      </c>
      <c r="C1953" t="s">
        <v>55</v>
      </c>
      <c r="D1953">
        <f>VLOOKUP(C1953,成本价!$C$2:$D$1000,2,0)*H1953</f>
        <v>3.513</v>
      </c>
      <c r="E1953">
        <v>13.26</v>
      </c>
      <c r="G1953">
        <f t="shared" si="36"/>
        <v>9.747</v>
      </c>
      <c r="H1953">
        <v>3</v>
      </c>
    </row>
    <row r="1954" spans="2:8">
      <c r="B1954" s="3">
        <v>45652</v>
      </c>
      <c r="C1954" t="s">
        <v>71</v>
      </c>
      <c r="D1954">
        <f>VLOOKUP(C1954,成本价!$C$2:$D$1000,2,0)*H1954</f>
        <v>3.573</v>
      </c>
      <c r="E1954">
        <v>13.34</v>
      </c>
      <c r="G1954">
        <f t="shared" si="36"/>
        <v>9.767</v>
      </c>
      <c r="H1954">
        <v>3</v>
      </c>
    </row>
    <row r="1955" spans="2:8">
      <c r="B1955" s="3">
        <v>45652</v>
      </c>
      <c r="C1955" t="s">
        <v>23</v>
      </c>
      <c r="D1955">
        <f>VLOOKUP(C1955,成本价!$C$2:$D$1000,2,0)*H1955</f>
        <v>3.12</v>
      </c>
      <c r="E1955">
        <v>6.9</v>
      </c>
      <c r="G1955">
        <f t="shared" si="36"/>
        <v>3.78</v>
      </c>
      <c r="H1955">
        <v>1.5</v>
      </c>
    </row>
    <row r="1956" spans="2:8">
      <c r="B1956" s="3">
        <v>45652</v>
      </c>
      <c r="C1956" t="s">
        <v>60</v>
      </c>
      <c r="D1956">
        <f>VLOOKUP(C1956,成本价!$C$2:$D$1000,2,0)*H1956</f>
        <v>5.2</v>
      </c>
      <c r="E1956">
        <v>18.8</v>
      </c>
      <c r="G1956">
        <f t="shared" si="36"/>
        <v>13.6</v>
      </c>
      <c r="H1956">
        <v>1</v>
      </c>
    </row>
    <row r="1957" spans="2:8">
      <c r="B1957" s="3">
        <v>45652</v>
      </c>
      <c r="C1957" t="s">
        <v>51</v>
      </c>
      <c r="D1957">
        <f>VLOOKUP(C1957,成本价!$C$2:$D$1000,2,0)*H1957</f>
        <v>9</v>
      </c>
      <c r="E1957">
        <v>17.6</v>
      </c>
      <c r="G1957">
        <f t="shared" si="36"/>
        <v>8.6</v>
      </c>
      <c r="H1957">
        <v>1</v>
      </c>
    </row>
    <row r="1958" spans="2:8">
      <c r="B1958" s="3">
        <v>45652</v>
      </c>
      <c r="C1958" t="s">
        <v>58</v>
      </c>
      <c r="D1958">
        <f>VLOOKUP(C1958,成本价!$C$2:$D$1000,2,0)*H1958</f>
        <v>8.4</v>
      </c>
      <c r="E1958">
        <v>17.6</v>
      </c>
      <c r="G1958">
        <f t="shared" si="36"/>
        <v>9.2</v>
      </c>
      <c r="H1958">
        <v>1</v>
      </c>
    </row>
    <row r="1959" spans="2:8">
      <c r="B1959" s="3">
        <v>45652</v>
      </c>
      <c r="C1959" t="s">
        <v>50</v>
      </c>
      <c r="D1959">
        <f>VLOOKUP(C1959,成本价!$C$2:$D$1000,2,0)*H1959</f>
        <v>2.749</v>
      </c>
      <c r="E1959">
        <v>11.51</v>
      </c>
      <c r="G1959">
        <f t="shared" si="36"/>
        <v>8.761</v>
      </c>
      <c r="H1959">
        <v>1</v>
      </c>
    </row>
    <row r="1960" spans="2:8">
      <c r="B1960" s="3">
        <v>45652</v>
      </c>
      <c r="C1960" t="s">
        <v>98</v>
      </c>
      <c r="D1960">
        <f>VLOOKUP(C1960,成本价!$C$2:$D$1000,2,0)*H1960</f>
        <v>10.68</v>
      </c>
      <c r="E1960">
        <v>29.79</v>
      </c>
      <c r="G1960">
        <f t="shared" ref="G1960:G2023" si="38">E1960-D1960</f>
        <v>19.11</v>
      </c>
      <c r="H1960">
        <v>1</v>
      </c>
    </row>
    <row r="1961" spans="2:8">
      <c r="B1961" s="3">
        <v>45652</v>
      </c>
      <c r="C1961" t="s">
        <v>92</v>
      </c>
      <c r="D1961">
        <f>VLOOKUP(C1961,成本价!$C$2:$D$1000,2,0)*H1961</f>
        <v>3</v>
      </c>
      <c r="G1961">
        <f t="shared" si="38"/>
        <v>-3</v>
      </c>
      <c r="H1961">
        <v>1</v>
      </c>
    </row>
    <row r="1962" spans="2:8">
      <c r="B1962" s="3">
        <v>45652</v>
      </c>
      <c r="C1962" t="s">
        <v>57</v>
      </c>
      <c r="D1962">
        <f>VLOOKUP(C1962,成本价!$C$2:$D$1000,2,0)*H1962</f>
        <v>8.9</v>
      </c>
      <c r="E1962">
        <v>28.01</v>
      </c>
      <c r="G1962">
        <f t="shared" si="38"/>
        <v>19.11</v>
      </c>
      <c r="H1962">
        <v>1</v>
      </c>
    </row>
    <row r="1963" spans="2:8">
      <c r="B1963" s="3">
        <v>45652</v>
      </c>
      <c r="C1963" t="s">
        <v>90</v>
      </c>
      <c r="D1963">
        <f>VLOOKUP(C1963,成本价!$C$2:$D$1000,2,0)*H1963</f>
        <v>2.6</v>
      </c>
      <c r="G1963">
        <f t="shared" si="38"/>
        <v>-2.6</v>
      </c>
      <c r="H1963">
        <v>1</v>
      </c>
    </row>
    <row r="1964" spans="2:8">
      <c r="B1964" s="3">
        <v>45652</v>
      </c>
      <c r="C1964" t="s">
        <v>106</v>
      </c>
      <c r="D1964">
        <f>VLOOKUP(C1964,成本价!$C$2:$D$1000,2,0)*H1964</f>
        <v>5.4</v>
      </c>
      <c r="E1964">
        <v>18.8</v>
      </c>
      <c r="G1964">
        <f t="shared" si="38"/>
        <v>13.4</v>
      </c>
      <c r="H1964">
        <v>1</v>
      </c>
    </row>
    <row r="1965" spans="2:8">
      <c r="B1965" s="3">
        <v>45652</v>
      </c>
      <c r="C1965" t="s">
        <v>55</v>
      </c>
      <c r="D1965">
        <f>VLOOKUP(C1965,成本价!$C$2:$D$1000,2,0)*H1965</f>
        <v>3.513</v>
      </c>
      <c r="E1965">
        <v>13.25</v>
      </c>
      <c r="G1965">
        <f t="shared" si="38"/>
        <v>9.737</v>
      </c>
      <c r="H1965">
        <v>3</v>
      </c>
    </row>
    <row r="1966" spans="2:8">
      <c r="B1966" s="3">
        <v>45652</v>
      </c>
      <c r="C1966" t="s">
        <v>61</v>
      </c>
      <c r="D1966">
        <f>VLOOKUP(C1966,成本价!$C$2:$D$1000,2,0)*H1966</f>
        <v>20.1</v>
      </c>
      <c r="E1966">
        <v>42.1</v>
      </c>
      <c r="G1966">
        <f t="shared" si="38"/>
        <v>22</v>
      </c>
      <c r="H1966">
        <v>1</v>
      </c>
    </row>
    <row r="1967" spans="2:8">
      <c r="B1967" s="3">
        <v>45652</v>
      </c>
      <c r="C1967" t="s">
        <v>94</v>
      </c>
      <c r="D1967">
        <f>VLOOKUP(C1967,成本价!$C$2:$D$1000,2,0)*H1967</f>
        <v>1.5</v>
      </c>
      <c r="G1967">
        <f t="shared" si="38"/>
        <v>-1.5</v>
      </c>
      <c r="H1967">
        <f>1/1.3*0.5</f>
        <v>0.384615384615385</v>
      </c>
    </row>
    <row r="1968" spans="2:8">
      <c r="B1968" s="3">
        <v>45652</v>
      </c>
      <c r="C1968" t="s">
        <v>94</v>
      </c>
      <c r="D1968">
        <f>VLOOKUP(C1968,成本价!$C$2:$D$1000,2,0)*H1968</f>
        <v>3.9</v>
      </c>
      <c r="E1968">
        <v>10.28</v>
      </c>
      <c r="G1968">
        <f t="shared" si="38"/>
        <v>6.38</v>
      </c>
      <c r="H1968">
        <v>1</v>
      </c>
    </row>
    <row r="1969" spans="2:8">
      <c r="B1969" s="3">
        <v>45652</v>
      </c>
      <c r="C1969" t="s">
        <v>79</v>
      </c>
      <c r="D1969">
        <f>VLOOKUP(C1969,成本价!$C$2:$D$1000,2,0)*H1969</f>
        <v>12.3</v>
      </c>
      <c r="E1969">
        <v>38.2</v>
      </c>
      <c r="G1969">
        <f t="shared" si="38"/>
        <v>25.9</v>
      </c>
      <c r="H1969">
        <v>1</v>
      </c>
    </row>
    <row r="1970" spans="2:8">
      <c r="B1970" s="3">
        <v>45652</v>
      </c>
      <c r="C1970" t="s">
        <v>90</v>
      </c>
      <c r="D1970">
        <f>VLOOKUP(C1970,成本价!$C$2:$D$1000,2,0)*H1970</f>
        <v>2.6</v>
      </c>
      <c r="G1970">
        <f t="shared" si="38"/>
        <v>-2.6</v>
      </c>
      <c r="H1970">
        <v>1</v>
      </c>
    </row>
    <row r="1971" spans="2:8">
      <c r="B1971" s="3">
        <v>45652</v>
      </c>
      <c r="C1971" t="s">
        <v>59</v>
      </c>
      <c r="D1971">
        <f>VLOOKUP(C1971,成本价!$C$2:$D$1000,2,0)*H1971</f>
        <v>8.7</v>
      </c>
      <c r="E1971">
        <v>27.84</v>
      </c>
      <c r="G1971">
        <f t="shared" si="38"/>
        <v>19.14</v>
      </c>
      <c r="H1971">
        <v>1</v>
      </c>
    </row>
    <row r="1972" spans="2:8">
      <c r="B1972" s="3">
        <v>45652</v>
      </c>
      <c r="C1972" t="s">
        <v>50</v>
      </c>
      <c r="D1972">
        <f>VLOOKUP(C1972,成本价!$C$2:$D$1000,2,0)*H1972</f>
        <v>5.498</v>
      </c>
      <c r="E1972">
        <v>23.02</v>
      </c>
      <c r="G1972">
        <f t="shared" si="38"/>
        <v>17.522</v>
      </c>
      <c r="H1972">
        <v>2</v>
      </c>
    </row>
    <row r="1973" spans="2:8">
      <c r="B1973" s="3">
        <v>45652</v>
      </c>
      <c r="C1973" t="s">
        <v>12</v>
      </c>
      <c r="D1973">
        <f>VLOOKUP(C1973,成本价!$C$2:$D$1000,2,0)*H1973</f>
        <v>1.161</v>
      </c>
      <c r="E1973">
        <v>8.6</v>
      </c>
      <c r="G1973">
        <f t="shared" si="38"/>
        <v>7.439</v>
      </c>
      <c r="H1973">
        <v>3</v>
      </c>
    </row>
    <row r="1974" spans="2:8">
      <c r="B1974" s="3">
        <v>45652</v>
      </c>
      <c r="C1974" t="s">
        <v>102</v>
      </c>
      <c r="D1974">
        <f>VLOOKUP(C1974,成本价!$C$2:$D$1000,2,0)*H1974</f>
        <v>7.5</v>
      </c>
      <c r="E1974">
        <v>18.5</v>
      </c>
      <c r="G1974">
        <f t="shared" si="38"/>
        <v>11</v>
      </c>
      <c r="H1974">
        <v>1</v>
      </c>
    </row>
    <row r="1975" spans="2:8">
      <c r="B1975" s="3">
        <v>45652</v>
      </c>
      <c r="C1975" t="s">
        <v>37</v>
      </c>
      <c r="D1975">
        <f>VLOOKUP(C1975,成本价!$C$2:$D$1000,2,0)*H1975</f>
        <v>3.81</v>
      </c>
      <c r="E1975">
        <v>6.9</v>
      </c>
      <c r="G1975">
        <f t="shared" si="38"/>
        <v>3.09</v>
      </c>
      <c r="H1975">
        <v>1.5</v>
      </c>
    </row>
    <row r="1976" spans="2:8">
      <c r="B1976" s="3">
        <v>45652</v>
      </c>
      <c r="C1976" t="s">
        <v>55</v>
      </c>
      <c r="D1976">
        <f>VLOOKUP(C1976,成本价!$C$2:$D$1000,2,0)*H1976</f>
        <v>3.513</v>
      </c>
      <c r="E1976">
        <v>13.25</v>
      </c>
      <c r="G1976">
        <f t="shared" si="38"/>
        <v>9.737</v>
      </c>
      <c r="H1976">
        <v>3</v>
      </c>
    </row>
    <row r="1977" spans="2:10">
      <c r="B1977" s="3">
        <v>45652</v>
      </c>
      <c r="C1977" t="s">
        <v>33</v>
      </c>
      <c r="D1977">
        <f>VLOOKUP(C1977,成本价!$C$2:$D$1000,2,0)*H1977</f>
        <v>1.7</v>
      </c>
      <c r="E1977">
        <v>6.51</v>
      </c>
      <c r="G1977">
        <f t="shared" si="38"/>
        <v>4.81</v>
      </c>
      <c r="H1977">
        <v>1</v>
      </c>
      <c r="J1977" s="2" t="s">
        <v>74</v>
      </c>
    </row>
    <row r="1978" spans="2:10">
      <c r="B1978" s="3">
        <v>45652</v>
      </c>
      <c r="C1978" t="s">
        <v>65</v>
      </c>
      <c r="D1978">
        <f>VLOOKUP(C1978,成本价!$C$2:$D$1000,2,0)*H1978</f>
        <v>5.3</v>
      </c>
      <c r="E1978">
        <v>15.63</v>
      </c>
      <c r="G1978">
        <f t="shared" si="38"/>
        <v>10.33</v>
      </c>
      <c r="H1978">
        <v>1</v>
      </c>
      <c r="J1978" s="2" t="s">
        <v>74</v>
      </c>
    </row>
    <row r="1979" spans="2:10">
      <c r="B1979" s="3">
        <v>45652</v>
      </c>
      <c r="C1979" t="s">
        <v>57</v>
      </c>
      <c r="D1979">
        <f>VLOOKUP(C1979,成本价!$C$2:$D$1000,2,0)*H1979</f>
        <v>8.9</v>
      </c>
      <c r="E1979">
        <v>31.11</v>
      </c>
      <c r="G1979">
        <f t="shared" si="38"/>
        <v>22.21</v>
      </c>
      <c r="H1979">
        <v>1</v>
      </c>
      <c r="J1979" s="2" t="s">
        <v>74</v>
      </c>
    </row>
    <row r="1980" spans="2:10">
      <c r="B1980" s="3">
        <v>45652</v>
      </c>
      <c r="C1980" t="s">
        <v>90</v>
      </c>
      <c r="D1980">
        <f>VLOOKUP(C1980,成本价!$C$2:$D$1000,2,0)*H1980</f>
        <v>2.6</v>
      </c>
      <c r="E1980">
        <v>3</v>
      </c>
      <c r="G1980">
        <f t="shared" si="38"/>
        <v>0.4</v>
      </c>
      <c r="H1980">
        <v>1</v>
      </c>
      <c r="J1980" s="2" t="s">
        <v>74</v>
      </c>
    </row>
    <row r="1981" spans="2:10">
      <c r="B1981" s="3">
        <v>45652</v>
      </c>
      <c r="C1981" t="s">
        <v>78</v>
      </c>
      <c r="D1981">
        <f>VLOOKUP(C1981,成本价!$C$2:$D$1000,2,0)*H1981</f>
        <v>0.1728</v>
      </c>
      <c r="E1981">
        <v>5.2</v>
      </c>
      <c r="G1981">
        <f t="shared" si="38"/>
        <v>5.0272</v>
      </c>
      <c r="H1981">
        <v>1</v>
      </c>
      <c r="J1981" s="2" t="s">
        <v>74</v>
      </c>
    </row>
    <row r="1982" spans="9:9">
      <c r="I1982">
        <f>193.2+34.31</f>
        <v>227.51</v>
      </c>
    </row>
    <row r="1983" spans="2:8">
      <c r="B1983" s="3">
        <v>45653</v>
      </c>
      <c r="C1983" t="s">
        <v>71</v>
      </c>
      <c r="D1983">
        <f>VLOOKUP(C1983,成本价!$C$2:$D$1000,2,0)*H1983</f>
        <v>3.573</v>
      </c>
      <c r="E1983">
        <v>13.2</v>
      </c>
      <c r="F1983">
        <v>140</v>
      </c>
      <c r="G1983">
        <f t="shared" si="38"/>
        <v>9.627</v>
      </c>
      <c r="H1983">
        <v>3</v>
      </c>
    </row>
    <row r="1984" spans="2:8">
      <c r="B1984" s="3">
        <v>45653</v>
      </c>
      <c r="C1984" t="s">
        <v>87</v>
      </c>
      <c r="D1984">
        <f>VLOOKUP(C1984,成本价!$C$2:$D$1000,2,0)*H1984</f>
        <v>9.0525</v>
      </c>
      <c r="E1984">
        <f>6.81+7.99+13.78+12.79+6.81+6.81+13.78+13.78+6.81</f>
        <v>89.36</v>
      </c>
      <c r="G1984">
        <f t="shared" si="38"/>
        <v>80.3075</v>
      </c>
      <c r="H1984">
        <f>6+8+9+9+9+4+8+9+9</f>
        <v>71</v>
      </c>
    </row>
    <row r="1985" spans="2:8">
      <c r="B1985" s="3">
        <v>45653</v>
      </c>
      <c r="C1985" t="s">
        <v>88</v>
      </c>
      <c r="D1985">
        <f>VLOOKUP(C1985,成本价!$C$2:$D$1000,2,0)*H1985</f>
        <v>8.37</v>
      </c>
      <c r="G1985">
        <f t="shared" si="38"/>
        <v>-8.37</v>
      </c>
      <c r="H1985">
        <f>12+16+9+3+12+4+3+3</f>
        <v>62</v>
      </c>
    </row>
    <row r="1986" spans="2:8">
      <c r="B1986" s="3">
        <v>45653</v>
      </c>
      <c r="C1986" t="s">
        <v>109</v>
      </c>
      <c r="D1986">
        <f>VLOOKUP(C1986,成本价!$C$2:$D$1000,2,0)*H1986</f>
        <v>4.6125</v>
      </c>
      <c r="E1986">
        <f>6.81*5</f>
        <v>34.05</v>
      </c>
      <c r="G1986">
        <f t="shared" si="38"/>
        <v>29.4375</v>
      </c>
      <c r="H1986">
        <v>5</v>
      </c>
    </row>
    <row r="1987" spans="2:8">
      <c r="B1987" s="3">
        <v>45653</v>
      </c>
      <c r="C1987" t="s">
        <v>36</v>
      </c>
      <c r="D1987">
        <f>VLOOKUP(C1987,成本价!$C$2:$D$1000,2,0)*H1987</f>
        <v>3.48</v>
      </c>
      <c r="E1987">
        <v>8.4</v>
      </c>
      <c r="G1987">
        <f t="shared" si="38"/>
        <v>4.92</v>
      </c>
      <c r="H1987">
        <v>1.5</v>
      </c>
    </row>
    <row r="1988" spans="2:8">
      <c r="B1988" s="3">
        <v>45653</v>
      </c>
      <c r="C1988" t="s">
        <v>55</v>
      </c>
      <c r="D1988">
        <f>VLOOKUP(C1988,成本价!$C$2:$D$1000,2,0)*H1988</f>
        <v>3.513</v>
      </c>
      <c r="E1988">
        <v>12.52</v>
      </c>
      <c r="G1988">
        <f t="shared" si="38"/>
        <v>9.007</v>
      </c>
      <c r="H1988">
        <v>3</v>
      </c>
    </row>
    <row r="1989" spans="2:8">
      <c r="B1989" s="3">
        <v>45653</v>
      </c>
      <c r="C1989" t="s">
        <v>59</v>
      </c>
      <c r="D1989">
        <f>VLOOKUP(C1989,成本价!$C$2:$D$1000,2,0)*H1989</f>
        <v>8.7</v>
      </c>
      <c r="E1989">
        <v>27.17</v>
      </c>
      <c r="G1989">
        <f t="shared" si="38"/>
        <v>18.47</v>
      </c>
      <c r="H1989">
        <v>1</v>
      </c>
    </row>
    <row r="1990" spans="2:8">
      <c r="B1990" s="3">
        <v>45653</v>
      </c>
      <c r="C1990" t="s">
        <v>90</v>
      </c>
      <c r="D1990">
        <f>VLOOKUP(C1990,成本价!$C$2:$D$1000,2,0)*H1990</f>
        <v>2.6</v>
      </c>
      <c r="G1990">
        <f t="shared" si="38"/>
        <v>-2.6</v>
      </c>
      <c r="H1990">
        <v>1</v>
      </c>
    </row>
    <row r="1991" spans="2:8">
      <c r="B1991" s="3">
        <v>45653</v>
      </c>
      <c r="C1991" t="s">
        <v>16</v>
      </c>
      <c r="D1991">
        <f>VLOOKUP(C1991,成本价!$C$2:$D$1000,2,0)*H1991</f>
        <v>8.1</v>
      </c>
      <c r="E1991">
        <v>20.57</v>
      </c>
      <c r="G1991">
        <f t="shared" si="38"/>
        <v>12.47</v>
      </c>
      <c r="H1991">
        <v>3</v>
      </c>
    </row>
    <row r="1992" spans="2:8">
      <c r="B1992" s="3">
        <v>45653</v>
      </c>
      <c r="C1992" t="s">
        <v>50</v>
      </c>
      <c r="D1992">
        <f>VLOOKUP(C1992,成本价!$C$2:$D$1000,2,0)*H1992</f>
        <v>2.749</v>
      </c>
      <c r="E1992">
        <v>11.51</v>
      </c>
      <c r="G1992">
        <f t="shared" si="38"/>
        <v>8.761</v>
      </c>
      <c r="H1992">
        <v>1</v>
      </c>
    </row>
    <row r="1993" spans="2:8">
      <c r="B1993" s="3">
        <v>45653</v>
      </c>
      <c r="C1993" t="s">
        <v>49</v>
      </c>
      <c r="D1993">
        <f>VLOOKUP(C1993,成本价!$C$2:$D$1000,2,0)*H1993</f>
        <v>1.975</v>
      </c>
      <c r="E1993">
        <v>10.25</v>
      </c>
      <c r="G1993">
        <f t="shared" si="38"/>
        <v>8.275</v>
      </c>
      <c r="H1993">
        <v>1</v>
      </c>
    </row>
    <row r="1994" spans="2:8">
      <c r="B1994" s="3">
        <v>45653</v>
      </c>
      <c r="C1994" t="s">
        <v>73</v>
      </c>
      <c r="D1994">
        <f>VLOOKUP(C1994,成本价!$C$2:$D$1000,2,0)*H1994</f>
        <v>12.48</v>
      </c>
      <c r="E1994">
        <v>30.66</v>
      </c>
      <c r="G1994">
        <f t="shared" si="38"/>
        <v>18.18</v>
      </c>
      <c r="H1994">
        <v>1</v>
      </c>
    </row>
    <row r="1995" spans="2:8">
      <c r="B1995" s="3">
        <v>45653</v>
      </c>
      <c r="C1995" t="s">
        <v>58</v>
      </c>
      <c r="D1995">
        <f>VLOOKUP(C1995,成本价!$C$2:$D$1000,2,0)*H1995</f>
        <v>8.4</v>
      </c>
      <c r="E1995">
        <v>17.6</v>
      </c>
      <c r="G1995">
        <f t="shared" si="38"/>
        <v>9.2</v>
      </c>
      <c r="H1995">
        <v>1</v>
      </c>
    </row>
    <row r="1996" spans="2:8">
      <c r="B1996" s="3">
        <v>45653</v>
      </c>
      <c r="C1996" t="s">
        <v>37</v>
      </c>
      <c r="D1996">
        <f>VLOOKUP(C1996,成本价!$C$2:$D$1000,2,0)*H1996</f>
        <v>3.81</v>
      </c>
      <c r="E1996">
        <v>8.9</v>
      </c>
      <c r="G1996">
        <f t="shared" si="38"/>
        <v>5.09</v>
      </c>
      <c r="H1996">
        <v>1.5</v>
      </c>
    </row>
    <row r="1997" spans="2:8">
      <c r="B1997" s="3">
        <v>45653</v>
      </c>
      <c r="C1997" t="s">
        <v>49</v>
      </c>
      <c r="D1997">
        <f>VLOOKUP(C1997,成本价!$C$2:$D$1000,2,0)*H1997</f>
        <v>1.975</v>
      </c>
      <c r="E1997">
        <v>10.25</v>
      </c>
      <c r="G1997">
        <f t="shared" si="38"/>
        <v>8.275</v>
      </c>
      <c r="H1997">
        <v>1</v>
      </c>
    </row>
    <row r="1998" spans="2:10">
      <c r="B1998" s="3">
        <v>45653</v>
      </c>
      <c r="C1998" t="s">
        <v>60</v>
      </c>
      <c r="D1998">
        <f>VLOOKUP(C1998,成本价!$C$2:$D$1000,2,0)*H1998</f>
        <v>5.2</v>
      </c>
      <c r="E1998">
        <v>21.87</v>
      </c>
      <c r="G1998">
        <f t="shared" si="38"/>
        <v>16.67</v>
      </c>
      <c r="H1998">
        <v>1</v>
      </c>
      <c r="J1998" s="2" t="s">
        <v>74</v>
      </c>
    </row>
    <row r="1999" spans="2:10">
      <c r="B1999" s="3">
        <v>45653</v>
      </c>
      <c r="C1999" t="s">
        <v>27</v>
      </c>
      <c r="D1999">
        <f>VLOOKUP(C1999,成本价!$C$2:$D$1000,2,0)*H1999</f>
        <v>1.8</v>
      </c>
      <c r="G1999">
        <f t="shared" si="38"/>
        <v>-1.8</v>
      </c>
      <c r="H1999">
        <v>1</v>
      </c>
      <c r="J1999" s="2" t="s">
        <v>74</v>
      </c>
    </row>
    <row r="2000" spans="2:10">
      <c r="B2000" s="3">
        <v>45653</v>
      </c>
      <c r="C2000" t="s">
        <v>45</v>
      </c>
      <c r="D2000">
        <f>VLOOKUP(C2000,成本价!$C$2:$D$1000,2,0)*H2000</f>
        <v>9.6</v>
      </c>
      <c r="E2000">
        <v>68.41</v>
      </c>
      <c r="G2000">
        <f t="shared" si="38"/>
        <v>58.81</v>
      </c>
      <c r="H2000">
        <v>4</v>
      </c>
      <c r="J2000" s="2" t="s">
        <v>74</v>
      </c>
    </row>
    <row r="2001" spans="2:10">
      <c r="B2001" s="3">
        <v>45653</v>
      </c>
      <c r="C2001" t="s">
        <v>46</v>
      </c>
      <c r="D2001">
        <f>VLOOKUP(C2001,成本价!$C$2:$D$1000,2,0)*H2001</f>
        <v>2.7</v>
      </c>
      <c r="G2001">
        <f t="shared" si="38"/>
        <v>-2.7</v>
      </c>
      <c r="H2001">
        <v>1</v>
      </c>
      <c r="J2001" s="2" t="s">
        <v>74</v>
      </c>
    </row>
    <row r="2002" spans="2:10">
      <c r="B2002" s="3">
        <v>45653</v>
      </c>
      <c r="C2002" t="s">
        <v>61</v>
      </c>
      <c r="D2002">
        <f>VLOOKUP(C2002,成本价!$C$2:$D$1000,2,0)*H2002</f>
        <v>20.1</v>
      </c>
      <c r="G2002">
        <f t="shared" si="38"/>
        <v>-20.1</v>
      </c>
      <c r="H2002">
        <v>1</v>
      </c>
      <c r="J2002" s="2" t="s">
        <v>74</v>
      </c>
    </row>
    <row r="2003" spans="2:10">
      <c r="B2003" s="3">
        <v>45653</v>
      </c>
      <c r="C2003" t="s">
        <v>23</v>
      </c>
      <c r="D2003">
        <f>VLOOKUP(C2003,成本价!$C$2:$D$1000,2,0)*H2003</f>
        <v>2.08</v>
      </c>
      <c r="E2003">
        <v>6.89</v>
      </c>
      <c r="G2003">
        <f t="shared" si="38"/>
        <v>4.81</v>
      </c>
      <c r="H2003">
        <v>1</v>
      </c>
      <c r="J2003" s="2" t="s">
        <v>74</v>
      </c>
    </row>
    <row r="2004" spans="9:9">
      <c r="I2004">
        <v>138.16</v>
      </c>
    </row>
    <row r="2005" spans="2:8">
      <c r="B2005" s="3">
        <v>45654</v>
      </c>
      <c r="C2005" t="s">
        <v>87</v>
      </c>
      <c r="D2005">
        <f>VLOOKUP(C2005,成本价!$C$2:$D$1000,2,0)*H2005</f>
        <v>12.24</v>
      </c>
      <c r="E2005">
        <f>7.98+6.81+7.98+6.81+7.98+6.81+7.98+7.98+7.99+5.79+5.79+5.79+5.79+5.79+5.79+5.79+13.78</f>
        <v>122.63</v>
      </c>
      <c r="F2005">
        <v>112</v>
      </c>
      <c r="G2005">
        <f t="shared" si="38"/>
        <v>110.39</v>
      </c>
      <c r="H2005">
        <f>9+6+9+3+3+6+9+9+3+9+9+9+12</f>
        <v>96</v>
      </c>
    </row>
    <row r="2006" spans="2:8">
      <c r="B2006" s="3">
        <v>45654</v>
      </c>
      <c r="C2006" t="s">
        <v>88</v>
      </c>
      <c r="D2006">
        <f>VLOOKUP(C2006,成本价!$C$2:$D$1000,2,0)*H2006</f>
        <v>11.61</v>
      </c>
      <c r="G2006">
        <f t="shared" si="38"/>
        <v>-11.61</v>
      </c>
      <c r="H2006">
        <f>8+9+9+9+9+9+3+3+3+9+6+3+3+3</f>
        <v>86</v>
      </c>
    </row>
    <row r="2007" spans="2:8">
      <c r="B2007" s="3">
        <v>45654</v>
      </c>
      <c r="C2007" t="s">
        <v>109</v>
      </c>
      <c r="D2007">
        <f>VLOOKUP(C2007,成本价!$C$2:$D$1000,2,0)*H2007</f>
        <v>4.6125</v>
      </c>
      <c r="E2007">
        <f>3*6.81+10.9</f>
        <v>31.33</v>
      </c>
      <c r="G2007">
        <f t="shared" si="38"/>
        <v>26.7175</v>
      </c>
      <c r="H2007">
        <v>5</v>
      </c>
    </row>
    <row r="2008" spans="2:8">
      <c r="B2008" s="3">
        <v>45654</v>
      </c>
      <c r="C2008" t="s">
        <v>75</v>
      </c>
      <c r="D2008">
        <f>VLOOKUP(C2008,成本价!$C$2:$D$1000,2,0)*H2008</f>
        <v>15.12</v>
      </c>
      <c r="E2008">
        <v>37.88</v>
      </c>
      <c r="G2008">
        <f t="shared" si="38"/>
        <v>22.76</v>
      </c>
      <c r="H2008">
        <v>1</v>
      </c>
    </row>
    <row r="2009" spans="2:8">
      <c r="B2009" s="3">
        <v>45654</v>
      </c>
      <c r="C2009" t="s">
        <v>92</v>
      </c>
      <c r="D2009">
        <f>VLOOKUP(C2009,成本价!$C$2:$D$1000,2,0)*H2009</f>
        <v>3</v>
      </c>
      <c r="G2009">
        <f t="shared" si="38"/>
        <v>-3</v>
      </c>
      <c r="H2009">
        <v>1</v>
      </c>
    </row>
    <row r="2010" spans="2:8">
      <c r="B2010" s="3">
        <v>45654</v>
      </c>
      <c r="C2010" t="s">
        <v>79</v>
      </c>
      <c r="D2010">
        <f>VLOOKUP(C2010,成本价!$C$2:$D$1000,2,0)*H2010</f>
        <v>12.3</v>
      </c>
      <c r="E2010">
        <v>35.79</v>
      </c>
      <c r="G2010">
        <f t="shared" si="38"/>
        <v>23.49</v>
      </c>
      <c r="H2010">
        <v>1</v>
      </c>
    </row>
    <row r="2011" spans="2:8">
      <c r="B2011" s="3">
        <v>45654</v>
      </c>
      <c r="C2011" t="s">
        <v>90</v>
      </c>
      <c r="D2011">
        <f>VLOOKUP(C2011,成本价!$C$2:$D$1000,2,0)*H2011</f>
        <v>2.6</v>
      </c>
      <c r="G2011">
        <f t="shared" si="38"/>
        <v>-2.6</v>
      </c>
      <c r="H2011">
        <v>1</v>
      </c>
    </row>
    <row r="2012" spans="2:8">
      <c r="B2012" s="3">
        <v>45654</v>
      </c>
      <c r="C2012" t="s">
        <v>54</v>
      </c>
      <c r="D2012">
        <f>VLOOKUP(C2012,成本价!$C$2:$D$1000,2,0)*H2012</f>
        <v>14.7</v>
      </c>
      <c r="E2012">
        <v>27.4</v>
      </c>
      <c r="G2012">
        <f t="shared" si="38"/>
        <v>12.7</v>
      </c>
      <c r="H2012">
        <v>1</v>
      </c>
    </row>
    <row r="2013" spans="2:8">
      <c r="B2013" s="3">
        <v>45654</v>
      </c>
      <c r="C2013" t="s">
        <v>33</v>
      </c>
      <c r="D2013">
        <f>VLOOKUP(C2013,成本价!$C$2:$D$1000,2,0)*H2013</f>
        <v>2.55</v>
      </c>
      <c r="E2013">
        <f>6.6</f>
        <v>6.6</v>
      </c>
      <c r="G2013">
        <f t="shared" si="38"/>
        <v>4.05</v>
      </c>
      <c r="H2013">
        <v>1.5</v>
      </c>
    </row>
    <row r="2014" spans="2:8">
      <c r="B2014" s="3">
        <v>45654</v>
      </c>
      <c r="C2014" t="s">
        <v>27</v>
      </c>
      <c r="D2014">
        <f>VLOOKUP(C2014,成本价!$C$2:$D$1000,2,0)*H2014</f>
        <v>5.4</v>
      </c>
      <c r="E2014">
        <f>6.61*2</f>
        <v>13.22</v>
      </c>
      <c r="G2014">
        <f t="shared" si="38"/>
        <v>7.82</v>
      </c>
      <c r="H2014">
        <v>3</v>
      </c>
    </row>
    <row r="2015" spans="2:8">
      <c r="B2015" s="3">
        <v>45654</v>
      </c>
      <c r="C2015" t="s">
        <v>33</v>
      </c>
      <c r="D2015">
        <f>VLOOKUP(C2015,成本价!$C$2:$D$1000,2,0)*H2015</f>
        <v>3.4</v>
      </c>
      <c r="E2015">
        <f>5.95*2</f>
        <v>11.9</v>
      </c>
      <c r="G2015">
        <f t="shared" si="38"/>
        <v>8.5</v>
      </c>
      <c r="H2015">
        <v>2</v>
      </c>
    </row>
    <row r="2016" spans="2:8">
      <c r="B2016" s="3">
        <v>45654</v>
      </c>
      <c r="C2016" t="s">
        <v>27</v>
      </c>
      <c r="D2016">
        <f>VLOOKUP(C2016,成本价!$C$2:$D$1000,2,0)*H2016</f>
        <v>3.6</v>
      </c>
      <c r="E2016">
        <f>5.95*2</f>
        <v>11.9</v>
      </c>
      <c r="G2016">
        <f t="shared" si="38"/>
        <v>8.3</v>
      </c>
      <c r="H2016">
        <v>2</v>
      </c>
    </row>
    <row r="2017" spans="2:8">
      <c r="B2017" s="3">
        <v>45654</v>
      </c>
      <c r="C2017" t="s">
        <v>61</v>
      </c>
      <c r="D2017">
        <f>VLOOKUP(C2017,成本价!$C$2:$D$1000,2,0)*H2017</f>
        <v>20.1</v>
      </c>
      <c r="E2017">
        <v>37.44</v>
      </c>
      <c r="G2017">
        <f t="shared" si="38"/>
        <v>17.34</v>
      </c>
      <c r="H2017">
        <v>1</v>
      </c>
    </row>
    <row r="2018" spans="2:8">
      <c r="B2018" s="3">
        <v>45654</v>
      </c>
      <c r="C2018" t="s">
        <v>97</v>
      </c>
      <c r="D2018">
        <f>VLOOKUP(C2018,成本价!$C$2:$D$1000,2,0)*H2018</f>
        <v>4.5</v>
      </c>
      <c r="E2018">
        <v>8.99</v>
      </c>
      <c r="G2018">
        <f t="shared" si="38"/>
        <v>4.49</v>
      </c>
      <c r="H2018">
        <v>1</v>
      </c>
    </row>
    <row r="2019" spans="2:8">
      <c r="B2019" s="3">
        <v>45654</v>
      </c>
      <c r="C2019" t="s">
        <v>49</v>
      </c>
      <c r="D2019">
        <f>VLOOKUP(C2019,成本价!$C$2:$D$1000,2,0)*H2019</f>
        <v>1.975</v>
      </c>
      <c r="E2019">
        <v>10.36</v>
      </c>
      <c r="G2019">
        <f t="shared" si="38"/>
        <v>8.385</v>
      </c>
      <c r="H2019">
        <v>1</v>
      </c>
    </row>
    <row r="2020" spans="2:8">
      <c r="B2020" s="3">
        <v>45654</v>
      </c>
      <c r="C2020" t="s">
        <v>80</v>
      </c>
      <c r="D2020">
        <f>VLOOKUP(C2020,成本价!$C$2:$D$1000,2,0)*H2020</f>
        <v>8.1</v>
      </c>
      <c r="E2020">
        <v>17.16</v>
      </c>
      <c r="G2020">
        <f t="shared" si="38"/>
        <v>9.06</v>
      </c>
      <c r="H2020">
        <v>1</v>
      </c>
    </row>
    <row r="2021" spans="2:8">
      <c r="B2021" s="3">
        <v>45654</v>
      </c>
      <c r="C2021" t="s">
        <v>40</v>
      </c>
      <c r="D2021">
        <f>VLOOKUP(C2021,成本价!$C$2:$D$1000,2,0)*H2021</f>
        <v>8.46</v>
      </c>
      <c r="E2021">
        <f>6.61*3</f>
        <v>19.83</v>
      </c>
      <c r="G2021">
        <f t="shared" si="38"/>
        <v>11.37</v>
      </c>
      <c r="H2021">
        <v>4.5</v>
      </c>
    </row>
    <row r="2022" spans="2:8">
      <c r="B2022" s="3">
        <v>45654</v>
      </c>
      <c r="C2022" t="s">
        <v>43</v>
      </c>
      <c r="D2022">
        <f>VLOOKUP(C2022,成本价!$C$2:$D$1000,2,0)*H2022</f>
        <v>9.09</v>
      </c>
      <c r="E2022">
        <f>6.6*3</f>
        <v>19.8</v>
      </c>
      <c r="G2022">
        <f t="shared" si="38"/>
        <v>10.71</v>
      </c>
      <c r="H2022">
        <v>4.5</v>
      </c>
    </row>
    <row r="2023" spans="2:8">
      <c r="B2023" s="3">
        <v>45654</v>
      </c>
      <c r="C2023" t="s">
        <v>57</v>
      </c>
      <c r="D2023">
        <f>VLOOKUP(C2023,成本价!$C$2:$D$1000,2,0)*H2023</f>
        <v>8.9</v>
      </c>
      <c r="E2023">
        <v>27.42</v>
      </c>
      <c r="G2023">
        <f t="shared" si="38"/>
        <v>18.52</v>
      </c>
      <c r="H2023">
        <v>1</v>
      </c>
    </row>
    <row r="2024" spans="2:8">
      <c r="B2024" s="3">
        <v>45654</v>
      </c>
      <c r="C2024" t="s">
        <v>90</v>
      </c>
      <c r="D2024">
        <f>VLOOKUP(C2024,成本价!$C$2:$D$1000,2,0)*H2024</f>
        <v>2.6</v>
      </c>
      <c r="G2024">
        <f t="shared" ref="G2024:G2087" si="39">E2024-D2024</f>
        <v>-2.6</v>
      </c>
      <c r="H2024">
        <v>1</v>
      </c>
    </row>
    <row r="2025" spans="2:8">
      <c r="B2025" s="3">
        <v>45654</v>
      </c>
      <c r="C2025" t="s">
        <v>36</v>
      </c>
      <c r="D2025">
        <f>VLOOKUP(C2025,成本价!$C$2:$D$1000,2,0)*H2025</f>
        <v>6.96</v>
      </c>
      <c r="E2025">
        <f>7.36+5.36</f>
        <v>12.72</v>
      </c>
      <c r="G2025">
        <f t="shared" si="39"/>
        <v>5.76</v>
      </c>
      <c r="H2025">
        <v>3</v>
      </c>
    </row>
    <row r="2026" spans="2:8">
      <c r="B2026" s="3">
        <v>45654</v>
      </c>
      <c r="C2026" t="s">
        <v>70</v>
      </c>
      <c r="D2026">
        <f>VLOOKUP(C2026,成本价!$C$2:$D$1000,2,0)*H2026</f>
        <v>13.72</v>
      </c>
      <c r="E2026">
        <v>38.74</v>
      </c>
      <c r="G2026">
        <f t="shared" si="39"/>
        <v>25.02</v>
      </c>
      <c r="H2026">
        <v>1</v>
      </c>
    </row>
    <row r="2027" spans="2:8">
      <c r="B2027" s="3">
        <v>45654</v>
      </c>
      <c r="C2027" t="s">
        <v>91</v>
      </c>
      <c r="D2027">
        <f>VLOOKUP(C2027,成本价!$C$2:$D$1000,2,0)*H2027</f>
        <v>3</v>
      </c>
      <c r="G2027">
        <f t="shared" si="39"/>
        <v>-3</v>
      </c>
      <c r="H2027">
        <v>1</v>
      </c>
    </row>
    <row r="2028" spans="2:8">
      <c r="B2028" s="3">
        <v>45654</v>
      </c>
      <c r="C2028" t="s">
        <v>16</v>
      </c>
      <c r="D2028">
        <f>VLOOKUP(C2028,成本价!$C$2:$D$1000,2,0)*H2028</f>
        <v>8.1</v>
      </c>
      <c r="E2028">
        <v>17.2</v>
      </c>
      <c r="G2028">
        <f t="shared" si="39"/>
        <v>9.1</v>
      </c>
      <c r="H2028">
        <v>3</v>
      </c>
    </row>
    <row r="2029" spans="2:8">
      <c r="B2029" s="3">
        <v>45654</v>
      </c>
      <c r="C2029" t="s">
        <v>70</v>
      </c>
      <c r="D2029">
        <f>VLOOKUP(C2029,成本价!$C$2:$D$1000,2,0)*H2029</f>
        <v>13.72</v>
      </c>
      <c r="E2029">
        <v>36.32</v>
      </c>
      <c r="G2029">
        <f t="shared" si="39"/>
        <v>22.6</v>
      </c>
      <c r="H2029">
        <v>1</v>
      </c>
    </row>
    <row r="2030" spans="2:8">
      <c r="B2030" s="3">
        <v>45654</v>
      </c>
      <c r="C2030" t="s">
        <v>91</v>
      </c>
      <c r="D2030">
        <f>VLOOKUP(C2030,成本价!$C$2:$D$1000,2,0)*H2030</f>
        <v>3</v>
      </c>
      <c r="G2030">
        <f t="shared" si="39"/>
        <v>-3</v>
      </c>
      <c r="H2030">
        <v>1</v>
      </c>
    </row>
    <row r="2031" spans="2:8">
      <c r="B2031" s="3">
        <v>45654</v>
      </c>
      <c r="C2031" t="s">
        <v>56</v>
      </c>
      <c r="D2031">
        <f>VLOOKUP(C2031,成本价!$C$2:$D$1000,2,0)*H2031</f>
        <v>3.483</v>
      </c>
      <c r="E2031">
        <v>13.37</v>
      </c>
      <c r="G2031">
        <f t="shared" si="39"/>
        <v>9.887</v>
      </c>
      <c r="H2031">
        <v>3</v>
      </c>
    </row>
    <row r="2032" spans="2:8">
      <c r="B2032" s="3">
        <v>45654</v>
      </c>
      <c r="C2032" t="s">
        <v>54</v>
      </c>
      <c r="D2032">
        <f>VLOOKUP(C2032,成本价!$C$2:$D$1000,2,0)*H2032</f>
        <v>14.7</v>
      </c>
      <c r="E2032">
        <v>27.4</v>
      </c>
      <c r="G2032">
        <f t="shared" si="39"/>
        <v>12.7</v>
      </c>
      <c r="H2032">
        <v>1</v>
      </c>
    </row>
    <row r="2033" spans="2:8">
      <c r="B2033" s="3">
        <v>45654</v>
      </c>
      <c r="C2033" t="s">
        <v>94</v>
      </c>
      <c r="D2033">
        <f>VLOOKUP(C2033,成本价!$C$2:$D$1000,2,0)*H2033</f>
        <v>32.4</v>
      </c>
      <c r="E2033">
        <v>61.61</v>
      </c>
      <c r="G2033">
        <f t="shared" si="39"/>
        <v>29.21</v>
      </c>
      <c r="H2033">
        <f>6*1/1.3*1.8</f>
        <v>8.30769230769231</v>
      </c>
    </row>
    <row r="2034" spans="2:8">
      <c r="B2034" s="3">
        <v>45654</v>
      </c>
      <c r="C2034" t="s">
        <v>54</v>
      </c>
      <c r="D2034">
        <f>VLOOKUP(C2034,成本价!$C$2:$D$1000,2,0)*H2034</f>
        <v>14.7</v>
      </c>
      <c r="E2034">
        <v>27.97</v>
      </c>
      <c r="G2034">
        <f t="shared" si="39"/>
        <v>13.27</v>
      </c>
      <c r="H2034">
        <v>1</v>
      </c>
    </row>
    <row r="2035" spans="2:10">
      <c r="B2035" s="3">
        <v>45654</v>
      </c>
      <c r="C2035" t="s">
        <v>16</v>
      </c>
      <c r="D2035">
        <f>VLOOKUP(C2035,成本价!$C$2:$D$1000,2,0)*H2035</f>
        <v>2.7</v>
      </c>
      <c r="E2035">
        <v>10</v>
      </c>
      <c r="G2035">
        <f t="shared" si="39"/>
        <v>7.3</v>
      </c>
      <c r="H2035">
        <v>1</v>
      </c>
      <c r="J2035" s="2" t="s">
        <v>74</v>
      </c>
    </row>
    <row r="2036" spans="2:10">
      <c r="B2036" s="3">
        <v>45654</v>
      </c>
      <c r="C2036" t="s">
        <v>27</v>
      </c>
      <c r="D2036">
        <f>VLOOKUP(C2036,成本价!$C$2:$D$1000,2,0)*H2036</f>
        <v>1.8</v>
      </c>
      <c r="E2036">
        <v>6.9</v>
      </c>
      <c r="G2036">
        <f t="shared" si="39"/>
        <v>5.1</v>
      </c>
      <c r="H2036">
        <v>1</v>
      </c>
      <c r="J2036" s="2" t="s">
        <v>74</v>
      </c>
    </row>
    <row r="2037" spans="2:9">
      <c r="B2037" s="3"/>
      <c r="I2037">
        <f>236.17+29.03</f>
        <v>265.2</v>
      </c>
    </row>
    <row r="2038" spans="2:8">
      <c r="B2038" s="3">
        <v>45655</v>
      </c>
      <c r="C2038" t="s">
        <v>87</v>
      </c>
      <c r="D2038">
        <f>VLOOKUP(C2038,成本价!$C$2:$D$1000,2,0)*H2038</f>
        <v>6.885</v>
      </c>
      <c r="E2038">
        <f>6.81+6.81+13.78+13.78+7.98+6.81+6.81+5.45+5.45+5.45</f>
        <v>79.13</v>
      </c>
      <c r="F2038">
        <v>91</v>
      </c>
      <c r="G2038">
        <f t="shared" si="39"/>
        <v>72.245</v>
      </c>
      <c r="H2038">
        <f>6+6+4+8+6+6+9+9</f>
        <v>54</v>
      </c>
    </row>
    <row r="2039" spans="2:8">
      <c r="B2039" s="3">
        <v>45655</v>
      </c>
      <c r="C2039" t="s">
        <v>88</v>
      </c>
      <c r="D2039">
        <f>VLOOKUP(C2039,成本价!$C$2:$D$1000,2,0)*H2039</f>
        <v>7.695</v>
      </c>
      <c r="G2039">
        <f t="shared" si="39"/>
        <v>-7.695</v>
      </c>
      <c r="H2039">
        <f>9+9+3+6+12+12+3+3</f>
        <v>57</v>
      </c>
    </row>
    <row r="2040" spans="2:8">
      <c r="B2040" s="3">
        <v>45655</v>
      </c>
      <c r="C2040" t="s">
        <v>109</v>
      </c>
      <c r="D2040">
        <f>VLOOKUP(C2040,成本价!$C$2:$D$1000,2,0)*H2040</f>
        <v>11.9925</v>
      </c>
      <c r="E2040">
        <f>43.59+21.8+6.81</f>
        <v>72.2</v>
      </c>
      <c r="G2040">
        <f t="shared" si="39"/>
        <v>60.2075</v>
      </c>
      <c r="H2040">
        <v>13</v>
      </c>
    </row>
    <row r="2041" spans="2:8">
      <c r="B2041" s="3">
        <v>45655</v>
      </c>
      <c r="C2041" t="s">
        <v>55</v>
      </c>
      <c r="D2041">
        <f>VLOOKUP(C2041,成本价!$C$2:$D$1000,2,0)*H2041</f>
        <v>1.171</v>
      </c>
      <c r="E2041">
        <v>8.5</v>
      </c>
      <c r="G2041">
        <f t="shared" si="39"/>
        <v>7.329</v>
      </c>
      <c r="H2041">
        <v>1</v>
      </c>
    </row>
    <row r="2042" spans="2:8">
      <c r="B2042" s="3">
        <v>45655</v>
      </c>
      <c r="C2042" t="s">
        <v>55</v>
      </c>
      <c r="D2042">
        <f>VLOOKUP(C2042,成本价!$C$2:$D$1000,2,0)*H2042</f>
        <v>1.171</v>
      </c>
      <c r="E2042">
        <v>8.6</v>
      </c>
      <c r="G2042">
        <f t="shared" si="39"/>
        <v>7.429</v>
      </c>
      <c r="H2042">
        <v>1</v>
      </c>
    </row>
    <row r="2043" spans="2:8">
      <c r="B2043" s="3">
        <v>45655</v>
      </c>
      <c r="C2043" t="s">
        <v>37</v>
      </c>
      <c r="D2043">
        <f>VLOOKUP(C2043,成本价!$C$2:$D$1000,2,0)*H2043</f>
        <v>2.54</v>
      </c>
      <c r="E2043">
        <v>5.36</v>
      </c>
      <c r="G2043">
        <f t="shared" si="39"/>
        <v>2.82</v>
      </c>
      <c r="H2043">
        <v>1</v>
      </c>
    </row>
    <row r="2044" spans="2:8">
      <c r="B2044" s="3">
        <v>45655</v>
      </c>
      <c r="C2044" t="s">
        <v>61</v>
      </c>
      <c r="D2044">
        <f>VLOOKUP(C2044,成本价!$C$2:$D$1000,2,0)*H2044</f>
        <v>20.1</v>
      </c>
      <c r="E2044">
        <v>37.44</v>
      </c>
      <c r="G2044">
        <f t="shared" si="39"/>
        <v>17.34</v>
      </c>
      <c r="H2044">
        <v>1</v>
      </c>
    </row>
    <row r="2045" spans="2:8">
      <c r="B2045" s="3">
        <v>45655</v>
      </c>
      <c r="C2045" t="s">
        <v>50</v>
      </c>
      <c r="D2045">
        <f>VLOOKUP(C2045,成本价!$C$2:$D$1000,2,0)*H2045</f>
        <v>2.749</v>
      </c>
      <c r="E2045">
        <v>11.51</v>
      </c>
      <c r="G2045">
        <f t="shared" si="39"/>
        <v>8.761</v>
      </c>
      <c r="H2045">
        <v>1</v>
      </c>
    </row>
    <row r="2046" spans="2:8">
      <c r="B2046" s="3">
        <v>45655</v>
      </c>
      <c r="C2046" t="s">
        <v>58</v>
      </c>
      <c r="D2046">
        <f>VLOOKUP(C2046,成本价!$C$2:$D$1000,2,0)*H2046</f>
        <v>8.4</v>
      </c>
      <c r="E2046">
        <v>17.2</v>
      </c>
      <c r="G2046">
        <f t="shared" si="39"/>
        <v>8.8</v>
      </c>
      <c r="H2046">
        <v>1</v>
      </c>
    </row>
    <row r="2047" spans="2:8">
      <c r="B2047" s="3">
        <v>45655</v>
      </c>
      <c r="C2047" t="s">
        <v>49</v>
      </c>
      <c r="D2047">
        <f>VLOOKUP(C2047,成本价!$C$2:$D$1000,2,0)*H2047</f>
        <v>1.975</v>
      </c>
      <c r="E2047">
        <v>10.43</v>
      </c>
      <c r="G2047">
        <f t="shared" si="39"/>
        <v>8.455</v>
      </c>
      <c r="H2047">
        <v>1</v>
      </c>
    </row>
    <row r="2048" spans="2:8">
      <c r="B2048" s="3">
        <v>45655</v>
      </c>
      <c r="C2048" t="s">
        <v>80</v>
      </c>
      <c r="D2048">
        <f>VLOOKUP(C2048,成本价!$C$2:$D$1000,2,0)*H2048</f>
        <v>8.1</v>
      </c>
      <c r="E2048">
        <v>17.16</v>
      </c>
      <c r="G2048">
        <f t="shared" si="39"/>
        <v>9.06</v>
      </c>
      <c r="H2048">
        <v>1</v>
      </c>
    </row>
    <row r="2049" spans="2:8">
      <c r="B2049" s="3">
        <v>45655</v>
      </c>
      <c r="C2049" t="s">
        <v>93</v>
      </c>
      <c r="D2049">
        <f>VLOOKUP(C2049,成本价!$C$2:$D$1000,2,0)*H2049</f>
        <v>4.77</v>
      </c>
      <c r="E2049">
        <v>17.5</v>
      </c>
      <c r="G2049">
        <f t="shared" si="39"/>
        <v>12.73</v>
      </c>
      <c r="H2049">
        <v>1</v>
      </c>
    </row>
    <row r="2050" spans="2:8">
      <c r="B2050" s="3">
        <v>45655</v>
      </c>
      <c r="C2050" t="s">
        <v>36</v>
      </c>
      <c r="D2050">
        <f>VLOOKUP(C2050,成本价!$C$2:$D$1000,2,0)*H2050</f>
        <v>3.48</v>
      </c>
      <c r="E2050">
        <v>5.36</v>
      </c>
      <c r="G2050">
        <f t="shared" si="39"/>
        <v>1.88</v>
      </c>
      <c r="H2050">
        <v>1.5</v>
      </c>
    </row>
    <row r="2051" spans="2:8">
      <c r="B2051" s="3">
        <v>45655</v>
      </c>
      <c r="C2051" t="s">
        <v>27</v>
      </c>
      <c r="D2051">
        <f>VLOOKUP(C2051,成本价!$C$2:$D$1000,2,0)*H2051</f>
        <v>3.6</v>
      </c>
      <c r="E2051">
        <v>13.42</v>
      </c>
      <c r="G2051">
        <f t="shared" si="39"/>
        <v>9.82</v>
      </c>
      <c r="H2051">
        <v>2</v>
      </c>
    </row>
    <row r="2052" spans="2:8">
      <c r="B2052" s="3">
        <v>45655</v>
      </c>
      <c r="C2052" t="s">
        <v>94</v>
      </c>
      <c r="D2052">
        <f>VLOOKUP(C2052,成本价!$C$2:$D$1000,2,0)*H2052</f>
        <v>3.9</v>
      </c>
      <c r="E2052">
        <v>10.53</v>
      </c>
      <c r="G2052">
        <f t="shared" si="39"/>
        <v>6.63</v>
      </c>
      <c r="H2052">
        <v>1</v>
      </c>
    </row>
    <row r="2053" spans="2:8">
      <c r="B2053" s="3">
        <v>45655</v>
      </c>
      <c r="C2053" t="s">
        <v>80</v>
      </c>
      <c r="D2053">
        <f>VLOOKUP(C2053,成本价!$C$2:$D$1000,2,0)*H2053</f>
        <v>8.1</v>
      </c>
      <c r="E2053">
        <v>17.16</v>
      </c>
      <c r="G2053">
        <f t="shared" si="39"/>
        <v>9.06</v>
      </c>
      <c r="H2053">
        <v>1</v>
      </c>
    </row>
    <row r="2054" spans="2:10">
      <c r="B2054" s="3">
        <v>45655</v>
      </c>
      <c r="C2054" t="s">
        <v>28</v>
      </c>
      <c r="D2054">
        <f>VLOOKUP(C2054,成本价!$C$2:$D$1000,2,0)*H2054</f>
        <v>2.22</v>
      </c>
      <c r="E2054">
        <v>6.89</v>
      </c>
      <c r="G2054">
        <f t="shared" si="39"/>
        <v>4.67</v>
      </c>
      <c r="H2054">
        <v>1</v>
      </c>
      <c r="J2054" s="2" t="s">
        <v>74</v>
      </c>
    </row>
    <row r="2055" spans="2:10">
      <c r="B2055" s="3">
        <v>45655</v>
      </c>
      <c r="C2055" t="s">
        <v>58</v>
      </c>
      <c r="D2055">
        <f>VLOOKUP(C2055,成本价!$C$2:$D$1000,2,0)*H2055</f>
        <v>8.4</v>
      </c>
      <c r="E2055">
        <v>22.75</v>
      </c>
      <c r="G2055">
        <f t="shared" si="39"/>
        <v>14.35</v>
      </c>
      <c r="H2055">
        <v>1</v>
      </c>
      <c r="J2055" s="2" t="s">
        <v>74</v>
      </c>
    </row>
    <row r="2056" spans="2:10">
      <c r="B2056" s="3">
        <v>45655</v>
      </c>
      <c r="C2056" t="s">
        <v>58</v>
      </c>
      <c r="D2056">
        <f>VLOOKUP(C2056,成本价!$C$2:$D$1000,2,0)*H2056</f>
        <v>8.4</v>
      </c>
      <c r="E2056">
        <v>26.16</v>
      </c>
      <c r="G2056">
        <f t="shared" si="39"/>
        <v>17.76</v>
      </c>
      <c r="H2056">
        <v>1</v>
      </c>
      <c r="J2056" s="2" t="s">
        <v>74</v>
      </c>
    </row>
    <row r="2057" spans="2:10">
      <c r="B2057" s="3">
        <v>45655</v>
      </c>
      <c r="C2057" t="s">
        <v>20</v>
      </c>
      <c r="D2057">
        <f>VLOOKUP(C2057,成本价!$C$2:$D$1000,2,0)*H2057</f>
        <v>3</v>
      </c>
      <c r="G2057">
        <f t="shared" si="39"/>
        <v>-3</v>
      </c>
      <c r="H2057">
        <v>1</v>
      </c>
      <c r="J2057" s="2" t="s">
        <v>74</v>
      </c>
    </row>
    <row r="2058" spans="2:10">
      <c r="B2058" s="3">
        <v>45655</v>
      </c>
      <c r="C2058" t="s">
        <v>20</v>
      </c>
      <c r="D2058">
        <f>VLOOKUP(C2058,成本价!$C$2:$D$1000,2,0)*H2058</f>
        <v>3</v>
      </c>
      <c r="E2058">
        <v>23.88</v>
      </c>
      <c r="G2058">
        <f t="shared" si="39"/>
        <v>20.88</v>
      </c>
      <c r="H2058">
        <v>1</v>
      </c>
      <c r="J2058" s="2" t="s">
        <v>74</v>
      </c>
    </row>
    <row r="2059" spans="9:9">
      <c r="I2059">
        <v>134.49</v>
      </c>
    </row>
    <row r="2060" spans="2:8">
      <c r="B2060" s="3">
        <v>45656</v>
      </c>
      <c r="C2060" t="s">
        <v>87</v>
      </c>
      <c r="D2060">
        <f>VLOOKUP(C2060,成本价!$C$2:$D$1000,2,0)*H2060</f>
        <v>16.575</v>
      </c>
      <c r="E2060">
        <f>13.78+6.81+6.81+7.98+19.16+6.81+5.45+5.45+6.81+7.98+6.81+7.98+6.81+6.81+13.78+7.98+7.98</f>
        <v>145.19</v>
      </c>
      <c r="F2060">
        <v>84</v>
      </c>
      <c r="G2060">
        <f t="shared" si="39"/>
        <v>128.615</v>
      </c>
      <c r="H2060">
        <f>4+6+3+8+9+9+9+9+6+3+9+9+6+4+9+9+9+9</f>
        <v>130</v>
      </c>
    </row>
    <row r="2061" spans="2:8">
      <c r="B2061" s="3">
        <v>45656</v>
      </c>
      <c r="C2061" t="s">
        <v>88</v>
      </c>
      <c r="D2061">
        <f>VLOOKUP(C2061,成本价!$C$2:$D$1000,2,0)*H2061</f>
        <v>10.53</v>
      </c>
      <c r="G2061">
        <f t="shared" si="39"/>
        <v>-10.53</v>
      </c>
      <c r="H2061">
        <f>3+3+16+3+3+9+3+3+3+3+4+6+3+16</f>
        <v>78</v>
      </c>
    </row>
    <row r="2062" spans="2:8">
      <c r="B2062" s="3">
        <v>45656</v>
      </c>
      <c r="C2062" t="s">
        <v>109</v>
      </c>
      <c r="D2062">
        <f>VLOOKUP(C2062,成本价!$C$2:$D$1000,2,0)*H2062</f>
        <v>7.38</v>
      </c>
      <c r="E2062">
        <f>10.9+5.98+21.8+6.81</f>
        <v>45.49</v>
      </c>
      <c r="G2062">
        <f t="shared" si="39"/>
        <v>38.11</v>
      </c>
      <c r="H2062">
        <v>8</v>
      </c>
    </row>
    <row r="2063" spans="2:8">
      <c r="B2063" s="3">
        <v>45656</v>
      </c>
      <c r="C2063" t="s">
        <v>40</v>
      </c>
      <c r="D2063">
        <f>VLOOKUP(C2063,成本价!$C$2:$D$1000,2,0)*H2063</f>
        <v>2.82</v>
      </c>
      <c r="E2063">
        <v>5.27</v>
      </c>
      <c r="G2063">
        <f t="shared" si="39"/>
        <v>2.45</v>
      </c>
      <c r="H2063">
        <v>1.5</v>
      </c>
    </row>
    <row r="2064" spans="2:8">
      <c r="B2064" s="3">
        <v>45656</v>
      </c>
      <c r="C2064" t="s">
        <v>54</v>
      </c>
      <c r="D2064">
        <f>VLOOKUP(C2064,成本价!$C$2:$D$1000,2,0)*H2064</f>
        <v>14.7</v>
      </c>
      <c r="E2064">
        <v>27.62</v>
      </c>
      <c r="G2064">
        <f t="shared" si="39"/>
        <v>12.92</v>
      </c>
      <c r="H2064">
        <v>1</v>
      </c>
    </row>
    <row r="2065" spans="2:8">
      <c r="B2065" s="3">
        <v>45656</v>
      </c>
      <c r="C2065" t="s">
        <v>79</v>
      </c>
      <c r="D2065">
        <f>VLOOKUP(C2065,成本价!$C$2:$D$1000,2,0)*H2065</f>
        <v>12.3</v>
      </c>
      <c r="E2065">
        <v>37.43</v>
      </c>
      <c r="G2065">
        <f t="shared" si="39"/>
        <v>25.13</v>
      </c>
      <c r="H2065">
        <v>1</v>
      </c>
    </row>
    <row r="2066" spans="2:8">
      <c r="B2066" s="3">
        <v>45656</v>
      </c>
      <c r="C2066" t="s">
        <v>90</v>
      </c>
      <c r="D2066">
        <f>VLOOKUP(C2066,成本价!$C$2:$D$1000,2,0)*H2066</f>
        <v>2.6</v>
      </c>
      <c r="G2066">
        <f t="shared" si="39"/>
        <v>-2.6</v>
      </c>
      <c r="H2066">
        <v>1</v>
      </c>
    </row>
    <row r="2067" spans="2:8">
      <c r="B2067" s="3">
        <v>45656</v>
      </c>
      <c r="C2067" t="s">
        <v>36</v>
      </c>
      <c r="D2067">
        <f>VLOOKUP(C2067,成本价!$C$2:$D$1000,2,0)*H2067</f>
        <v>3.48</v>
      </c>
      <c r="E2067">
        <v>5.27</v>
      </c>
      <c r="G2067">
        <f t="shared" si="39"/>
        <v>1.79</v>
      </c>
      <c r="H2067">
        <v>1.5</v>
      </c>
    </row>
    <row r="2068" spans="2:8">
      <c r="B2068" s="3">
        <v>45656</v>
      </c>
      <c r="C2068" t="s">
        <v>36</v>
      </c>
      <c r="D2068">
        <f>VLOOKUP(C2068,成本价!$C$2:$D$1000,2,0)*H2068</f>
        <v>3.48</v>
      </c>
      <c r="E2068">
        <v>5.27</v>
      </c>
      <c r="G2068">
        <f t="shared" si="39"/>
        <v>1.79</v>
      </c>
      <c r="H2068">
        <v>1.5</v>
      </c>
    </row>
    <row r="2069" spans="2:8">
      <c r="B2069" s="3">
        <v>45656</v>
      </c>
      <c r="C2069" t="s">
        <v>50</v>
      </c>
      <c r="D2069">
        <f>VLOOKUP(C2069,成本价!$C$2:$D$1000,2,0)*H2069</f>
        <v>2.749</v>
      </c>
      <c r="E2069">
        <v>11.51</v>
      </c>
      <c r="G2069">
        <f t="shared" si="39"/>
        <v>8.761</v>
      </c>
      <c r="H2069">
        <v>1</v>
      </c>
    </row>
    <row r="2070" spans="2:8">
      <c r="B2070" s="3">
        <v>45656</v>
      </c>
      <c r="C2070" t="s">
        <v>97</v>
      </c>
      <c r="D2070">
        <f>VLOOKUP(C2070,成本价!$C$2:$D$1000,2,0)*H2070</f>
        <v>4.5</v>
      </c>
      <c r="E2070">
        <v>8.76</v>
      </c>
      <c r="G2070">
        <f t="shared" si="39"/>
        <v>4.26</v>
      </c>
      <c r="H2070">
        <v>1</v>
      </c>
    </row>
    <row r="2071" spans="2:8">
      <c r="B2071" s="3">
        <v>45656</v>
      </c>
      <c r="C2071" t="s">
        <v>77</v>
      </c>
      <c r="D2071">
        <f>VLOOKUP(C2071,成本价!$C$2:$D$1000,2,0)*H2071</f>
        <v>0.4032</v>
      </c>
      <c r="E2071">
        <v>6.64</v>
      </c>
      <c r="G2071">
        <f t="shared" si="39"/>
        <v>6.2368</v>
      </c>
      <c r="H2071">
        <v>1</v>
      </c>
    </row>
    <row r="2072" spans="2:8">
      <c r="B2072" s="3">
        <v>45656</v>
      </c>
      <c r="C2072" t="s">
        <v>58</v>
      </c>
      <c r="D2072">
        <f>VLOOKUP(C2072,成本价!$C$2:$D$1000,2,0)*H2072</f>
        <v>8.4</v>
      </c>
      <c r="E2072">
        <v>17.16</v>
      </c>
      <c r="G2072">
        <f t="shared" si="39"/>
        <v>8.76</v>
      </c>
      <c r="H2072">
        <v>1</v>
      </c>
    </row>
    <row r="2073" spans="2:8">
      <c r="B2073" s="3">
        <v>45656</v>
      </c>
      <c r="C2073" t="s">
        <v>70</v>
      </c>
      <c r="D2073">
        <f>VLOOKUP(C2073,成本价!$C$2:$D$1000,2,0)*H2073</f>
        <v>13.72</v>
      </c>
      <c r="E2073">
        <v>38.9</v>
      </c>
      <c r="G2073">
        <f t="shared" si="39"/>
        <v>25.18</v>
      </c>
      <c r="H2073">
        <v>1</v>
      </c>
    </row>
    <row r="2074" spans="2:8">
      <c r="B2074" s="3">
        <v>45656</v>
      </c>
      <c r="C2074" t="s">
        <v>91</v>
      </c>
      <c r="D2074">
        <f>VLOOKUP(C2074,成本价!$C$2:$D$1000,2,0)*H2074</f>
        <v>3</v>
      </c>
      <c r="G2074">
        <f t="shared" si="39"/>
        <v>-3</v>
      </c>
      <c r="H2074">
        <v>1</v>
      </c>
    </row>
    <row r="2075" spans="2:8">
      <c r="B2075" s="3">
        <v>45656</v>
      </c>
      <c r="C2075" t="s">
        <v>97</v>
      </c>
      <c r="D2075">
        <f>VLOOKUP(C2075,成本价!$C$2:$D$1000,2,0)*H2075</f>
        <v>4.5</v>
      </c>
      <c r="E2075">
        <v>11.62</v>
      </c>
      <c r="G2075">
        <f t="shared" si="39"/>
        <v>7.12</v>
      </c>
      <c r="H2075">
        <v>1</v>
      </c>
    </row>
    <row r="2076" spans="2:10">
      <c r="B2076" s="3">
        <v>45656</v>
      </c>
      <c r="C2076" t="s">
        <v>51</v>
      </c>
      <c r="D2076">
        <f>VLOOKUP(C2076,成本价!$C$2:$D$1000,2,0)*H2076</f>
        <v>9</v>
      </c>
      <c r="E2076">
        <v>23.75</v>
      </c>
      <c r="G2076">
        <f t="shared" si="39"/>
        <v>14.75</v>
      </c>
      <c r="H2076">
        <v>1</v>
      </c>
      <c r="J2076" s="2" t="s">
        <v>74</v>
      </c>
    </row>
    <row r="2077" spans="2:10">
      <c r="B2077" s="3">
        <v>45656</v>
      </c>
      <c r="C2077" t="s">
        <v>76</v>
      </c>
      <c r="D2077">
        <f>VLOOKUP(C2077,成本价!$C$2:$D$1000,2,0)*H2077</f>
        <v>1.7856</v>
      </c>
      <c r="E2077">
        <v>16.52</v>
      </c>
      <c r="G2077">
        <f t="shared" si="39"/>
        <v>14.7344</v>
      </c>
      <c r="H2077">
        <v>1</v>
      </c>
      <c r="J2077" s="2" t="s">
        <v>74</v>
      </c>
    </row>
    <row r="2078" spans="9:9">
      <c r="I2078">
        <v>173.31</v>
      </c>
    </row>
    <row r="2079" spans="2:8">
      <c r="B2079" s="3">
        <v>45657</v>
      </c>
      <c r="C2079" t="s">
        <v>36</v>
      </c>
      <c r="D2079">
        <f>VLOOKUP(C2079,成本价!$C$2:$D$1000,2,0)*H2079</f>
        <v>3.48</v>
      </c>
      <c r="E2079">
        <f>7.91</f>
        <v>7.91</v>
      </c>
      <c r="F2079">
        <v>115.5</v>
      </c>
      <c r="G2079">
        <f t="shared" si="39"/>
        <v>4.43</v>
      </c>
      <c r="H2079">
        <v>1.5</v>
      </c>
    </row>
    <row r="2080" spans="2:8">
      <c r="B2080" s="3">
        <v>45657</v>
      </c>
      <c r="C2080" t="s">
        <v>37</v>
      </c>
      <c r="D2080">
        <f>VLOOKUP(C2080,成本价!$C$2:$D$1000,2,0)*H2080</f>
        <v>7.62</v>
      </c>
      <c r="E2080">
        <f>7.91*2</f>
        <v>15.82</v>
      </c>
      <c r="G2080">
        <f t="shared" si="39"/>
        <v>8.2</v>
      </c>
      <c r="H2080">
        <v>3</v>
      </c>
    </row>
    <row r="2081" spans="2:8">
      <c r="B2081" s="3">
        <v>45657</v>
      </c>
      <c r="C2081" t="s">
        <v>87</v>
      </c>
      <c r="D2081">
        <f>VLOOKUP(C2081,成本价!$C$2:$D$1000,2,0)*H2081</f>
        <v>10.455</v>
      </c>
      <c r="E2081">
        <f>6.81+12.77+7.98+7.98+7.98+7.98+13.78+6.98+13.78</f>
        <v>86.04</v>
      </c>
      <c r="G2081">
        <f t="shared" si="39"/>
        <v>75.585</v>
      </c>
      <c r="H2081">
        <f>6+18+9+9+3+9+9+9+10</f>
        <v>82</v>
      </c>
    </row>
    <row r="2082" spans="2:8">
      <c r="B2082" s="3">
        <v>45657</v>
      </c>
      <c r="C2082" t="s">
        <v>88</v>
      </c>
      <c r="D2082">
        <f>VLOOKUP(C2082,成本价!$C$2:$D$1000,2,0)*H2082</f>
        <v>7.02</v>
      </c>
      <c r="G2082">
        <f t="shared" si="39"/>
        <v>-7.02</v>
      </c>
      <c r="H2082">
        <f>10+3+12+3+9+3+3+3+3+3</f>
        <v>52</v>
      </c>
    </row>
    <row r="2083" spans="2:8">
      <c r="B2083" s="3">
        <v>45657</v>
      </c>
      <c r="C2083" t="s">
        <v>109</v>
      </c>
      <c r="D2083">
        <f>VLOOKUP(C2083,成本价!$C$2:$D$1000,2,0)*H2083</f>
        <v>6.4575</v>
      </c>
      <c r="E2083">
        <f>6.81+6.81+6.81+6.81+6.81+6.81+5.81</f>
        <v>46.67</v>
      </c>
      <c r="G2083">
        <f t="shared" si="39"/>
        <v>40.2125</v>
      </c>
      <c r="H2083">
        <v>7</v>
      </c>
    </row>
    <row r="2084" spans="2:8">
      <c r="B2084" s="3">
        <v>45657</v>
      </c>
      <c r="C2084" t="s">
        <v>80</v>
      </c>
      <c r="D2084">
        <f>VLOOKUP(C2084,成本价!$C$2:$D$1000,2,0)*H2084</f>
        <v>8.1</v>
      </c>
      <c r="E2084">
        <v>15.48</v>
      </c>
      <c r="G2084">
        <f t="shared" si="39"/>
        <v>7.38</v>
      </c>
      <c r="H2084">
        <v>1</v>
      </c>
    </row>
    <row r="2085" spans="2:8">
      <c r="B2085" s="3">
        <v>45657</v>
      </c>
      <c r="C2085" t="s">
        <v>55</v>
      </c>
      <c r="D2085">
        <f>VLOOKUP(C2085,成本价!$C$2:$D$1000,2,0)*H2085</f>
        <v>1.171</v>
      </c>
      <c r="E2085">
        <v>7.59</v>
      </c>
      <c r="G2085">
        <f t="shared" si="39"/>
        <v>6.419</v>
      </c>
      <c r="H2085">
        <v>1</v>
      </c>
    </row>
    <row r="2086" spans="2:8">
      <c r="B2086" s="3">
        <v>45657</v>
      </c>
      <c r="C2086" t="s">
        <v>58</v>
      </c>
      <c r="D2086">
        <f>VLOOKUP(C2086,成本价!$C$2:$D$1000,2,0)*H2086</f>
        <v>8.4</v>
      </c>
      <c r="E2086">
        <v>17.16</v>
      </c>
      <c r="G2086">
        <f t="shared" si="39"/>
        <v>8.76</v>
      </c>
      <c r="H2086">
        <v>1</v>
      </c>
    </row>
    <row r="2087" spans="2:8">
      <c r="B2087" s="3">
        <v>45657</v>
      </c>
      <c r="C2087" t="s">
        <v>16</v>
      </c>
      <c r="D2087">
        <f>VLOOKUP(C2087,成本价!$C$2:$D$1000,2,0)*H2087</f>
        <v>2.7</v>
      </c>
      <c r="E2087">
        <v>17.2</v>
      </c>
      <c r="G2087">
        <f t="shared" si="39"/>
        <v>14.5</v>
      </c>
      <c r="H2087">
        <v>1</v>
      </c>
    </row>
    <row r="2088" spans="2:8">
      <c r="B2088" s="3">
        <v>45657</v>
      </c>
      <c r="C2088" t="s">
        <v>58</v>
      </c>
      <c r="D2088">
        <f>VLOOKUP(C2088,成本价!$C$2:$D$1000,2,0)*H2088</f>
        <v>8.4</v>
      </c>
      <c r="E2088">
        <v>17.24</v>
      </c>
      <c r="G2088">
        <f t="shared" ref="G2088:G2151" si="40">E2088-D2088</f>
        <v>8.84</v>
      </c>
      <c r="H2088">
        <v>1</v>
      </c>
    </row>
    <row r="2089" spans="2:8">
      <c r="B2089" s="3">
        <v>45657</v>
      </c>
      <c r="C2089" t="s">
        <v>16</v>
      </c>
      <c r="D2089">
        <f>VLOOKUP(C2089,成本价!$C$2:$D$1000,2,0)*H2089</f>
        <v>2.7</v>
      </c>
      <c r="E2089">
        <v>17.24</v>
      </c>
      <c r="G2089">
        <f t="shared" si="40"/>
        <v>14.54</v>
      </c>
      <c r="H2089">
        <v>1</v>
      </c>
    </row>
    <row r="2090" spans="2:8">
      <c r="B2090" s="3">
        <v>45657</v>
      </c>
      <c r="C2090" t="s">
        <v>86</v>
      </c>
      <c r="D2090">
        <f>VLOOKUP(C2090,成本价!$C$2:$D$1000,2,0)*H2090</f>
        <v>4.1184</v>
      </c>
      <c r="E2090">
        <v>25.71</v>
      </c>
      <c r="G2090">
        <f t="shared" si="40"/>
        <v>21.5916</v>
      </c>
      <c r="H2090">
        <v>1</v>
      </c>
    </row>
    <row r="2091" spans="2:8">
      <c r="B2091" s="3">
        <v>45657</v>
      </c>
      <c r="C2091" t="s">
        <v>37</v>
      </c>
      <c r="D2091">
        <f>VLOOKUP(C2091,成本价!$C$2:$D$1000,2,0)*H2091</f>
        <v>3.81</v>
      </c>
      <c r="E2091">
        <v>5.18</v>
      </c>
      <c r="G2091">
        <f t="shared" si="40"/>
        <v>1.37</v>
      </c>
      <c r="H2091">
        <v>1.5</v>
      </c>
    </row>
    <row r="2092" spans="2:8">
      <c r="B2092" s="3">
        <v>45657</v>
      </c>
      <c r="C2092" t="s">
        <v>16</v>
      </c>
      <c r="D2092">
        <f>VLOOKUP(C2092,成本价!$C$2:$D$1000,2,0)*H2092</f>
        <v>10.8</v>
      </c>
      <c r="E2092">
        <v>27.68</v>
      </c>
      <c r="G2092">
        <f t="shared" si="40"/>
        <v>16.88</v>
      </c>
      <c r="H2092">
        <v>4</v>
      </c>
    </row>
    <row r="2093" spans="2:8">
      <c r="B2093" s="3">
        <v>45657</v>
      </c>
      <c r="C2093" t="s">
        <v>20</v>
      </c>
      <c r="D2093">
        <f>VLOOKUP(C2093,成本价!$C$2:$D$1000,2,0)*H2093</f>
        <v>3</v>
      </c>
      <c r="G2093">
        <f t="shared" si="40"/>
        <v>-3</v>
      </c>
      <c r="H2093">
        <v>1</v>
      </c>
    </row>
    <row r="2094" spans="2:8">
      <c r="B2094" s="3">
        <v>45657</v>
      </c>
      <c r="C2094" t="s">
        <v>58</v>
      </c>
      <c r="D2094">
        <f>VLOOKUP(C2094,成本价!$C$2:$D$1000,2,0)*H2094</f>
        <v>8.4</v>
      </c>
      <c r="E2094">
        <v>17.16</v>
      </c>
      <c r="G2094">
        <f t="shared" si="40"/>
        <v>8.76</v>
      </c>
      <c r="H2094">
        <v>1</v>
      </c>
    </row>
    <row r="2095" spans="2:8">
      <c r="B2095" s="3">
        <v>45657</v>
      </c>
      <c r="C2095" t="s">
        <v>80</v>
      </c>
      <c r="D2095">
        <f>VLOOKUP(C2095,成本价!$C$2:$D$1000,2,0)*H2095</f>
        <v>8.1</v>
      </c>
      <c r="E2095">
        <v>17.16</v>
      </c>
      <c r="G2095">
        <f t="shared" si="40"/>
        <v>9.06</v>
      </c>
      <c r="H2095">
        <v>1</v>
      </c>
    </row>
    <row r="2096" spans="2:8">
      <c r="B2096" s="3">
        <v>45657</v>
      </c>
      <c r="C2096" t="s">
        <v>16</v>
      </c>
      <c r="D2096">
        <f>VLOOKUP(C2096,成本价!$C$2:$D$1000,2,0)*H2096</f>
        <v>2.7</v>
      </c>
      <c r="E2096">
        <v>17.24</v>
      </c>
      <c r="G2096">
        <f t="shared" si="40"/>
        <v>14.54</v>
      </c>
      <c r="H2096">
        <v>1</v>
      </c>
    </row>
    <row r="2097" spans="2:8">
      <c r="B2097" s="3">
        <v>45657</v>
      </c>
      <c r="C2097" t="s">
        <v>20</v>
      </c>
      <c r="D2097">
        <f>VLOOKUP(C2097,成本价!$C$2:$D$1000,2,0)*H2097</f>
        <v>6</v>
      </c>
      <c r="G2097">
        <f t="shared" si="40"/>
        <v>-6</v>
      </c>
      <c r="H2097">
        <v>2</v>
      </c>
    </row>
    <row r="2098" spans="2:8">
      <c r="B2098" s="3">
        <v>45657</v>
      </c>
      <c r="C2098" t="s">
        <v>94</v>
      </c>
      <c r="D2098">
        <f>VLOOKUP(C2098,成本价!$C$2:$D$1000,2,0)*H2098</f>
        <v>7.8</v>
      </c>
      <c r="E2098">
        <v>21.14</v>
      </c>
      <c r="G2098">
        <f t="shared" si="40"/>
        <v>13.34</v>
      </c>
      <c r="H2098">
        <v>2</v>
      </c>
    </row>
    <row r="2099" spans="2:8">
      <c r="B2099" s="3">
        <v>45657</v>
      </c>
      <c r="C2099" t="s">
        <v>80</v>
      </c>
      <c r="D2099">
        <f>VLOOKUP(C2099,成本价!$C$2:$D$1000,2,0)*H2099</f>
        <v>8.1</v>
      </c>
      <c r="E2099">
        <v>17.16</v>
      </c>
      <c r="G2099">
        <f t="shared" si="40"/>
        <v>9.06</v>
      </c>
      <c r="H2099">
        <v>1</v>
      </c>
    </row>
    <row r="2100" spans="2:10">
      <c r="B2100" s="3">
        <v>45657</v>
      </c>
      <c r="C2100" t="s">
        <v>40</v>
      </c>
      <c r="D2100">
        <f>VLOOKUP(C2100,成本价!$C$2:$D$1000,2,0)*H2100</f>
        <v>1.88</v>
      </c>
      <c r="E2100">
        <v>16.91</v>
      </c>
      <c r="G2100">
        <f t="shared" si="40"/>
        <v>15.03</v>
      </c>
      <c r="H2100">
        <v>1</v>
      </c>
      <c r="J2100" s="2" t="s">
        <v>74</v>
      </c>
    </row>
    <row r="2101" spans="2:10">
      <c r="B2101" s="3">
        <v>45657</v>
      </c>
      <c r="C2101" t="s">
        <v>43</v>
      </c>
      <c r="D2101">
        <f>VLOOKUP(C2101,成本价!$C$2:$D$1000,2,0)*H2101</f>
        <v>2.02</v>
      </c>
      <c r="G2101">
        <f t="shared" si="40"/>
        <v>-2.02</v>
      </c>
      <c r="H2101">
        <v>1</v>
      </c>
      <c r="J2101" s="2" t="s">
        <v>74</v>
      </c>
    </row>
    <row r="2102" spans="2:8">
      <c r="B2102" s="3">
        <v>45657</v>
      </c>
      <c r="C2102" t="s">
        <v>60</v>
      </c>
      <c r="D2102">
        <f>VLOOKUP(C2102,成本价!$C$2:$D$1000,2,0)*H2102</f>
        <v>5.2</v>
      </c>
      <c r="E2102">
        <v>16.63</v>
      </c>
      <c r="G2102">
        <f t="shared" si="40"/>
        <v>11.43</v>
      </c>
      <c r="H2102">
        <v>1</v>
      </c>
    </row>
    <row r="2103" spans="2:8">
      <c r="B2103" s="3">
        <v>45657</v>
      </c>
      <c r="C2103" t="s">
        <v>58</v>
      </c>
      <c r="D2103">
        <f>VLOOKUP(C2103,成本价!$C$2:$D$1000,2,0)*H2103</f>
        <v>16.8</v>
      </c>
      <c r="E2103">
        <v>39.96</v>
      </c>
      <c r="G2103">
        <f t="shared" si="40"/>
        <v>23.16</v>
      </c>
      <c r="H2103">
        <v>2</v>
      </c>
    </row>
    <row r="2104" spans="9:9">
      <c r="I2104">
        <v>153.85</v>
      </c>
    </row>
    <row r="2105" spans="2:8">
      <c r="B2105" s="3">
        <v>45658</v>
      </c>
      <c r="C2105" t="s">
        <v>113</v>
      </c>
      <c r="D2105">
        <f>VLOOKUP(C2105,成本价!$C$2:$D$1000,2,0)*H2105</f>
        <v>9.96</v>
      </c>
      <c r="E2105">
        <v>34.55</v>
      </c>
      <c r="F2105">
        <f>34*3.5</f>
        <v>119</v>
      </c>
      <c r="G2105">
        <f t="shared" si="40"/>
        <v>24.59</v>
      </c>
      <c r="H2105">
        <v>1</v>
      </c>
    </row>
    <row r="2106" spans="2:8">
      <c r="B2106" s="3">
        <v>45658</v>
      </c>
      <c r="C2106" t="s">
        <v>87</v>
      </c>
      <c r="D2106">
        <f>VLOOKUP(C2106,成本价!$C$2:$D$1000,2,0)*H2106</f>
        <v>15.045</v>
      </c>
      <c r="E2106">
        <f>13.78+7.98+12.77+12.77+13.78+12.77+6.81+6.81+5.22+7.98+7.98+6.81+7.98+7.98+5.45+5.45</f>
        <v>142.32</v>
      </c>
      <c r="G2106">
        <f t="shared" si="40"/>
        <v>127.275</v>
      </c>
      <c r="H2106">
        <f>4+9+9+9+9+9+4+12+6+2+9+3+9+6+9+9</f>
        <v>118</v>
      </c>
    </row>
    <row r="2107" spans="2:8">
      <c r="B2107" s="3">
        <v>45658</v>
      </c>
      <c r="C2107" t="s">
        <v>88</v>
      </c>
      <c r="D2107">
        <f>VLOOKUP(C2107,成本价!$C$2:$D$1000,2,0)*H2107</f>
        <v>14.04</v>
      </c>
      <c r="G2107">
        <f t="shared" si="40"/>
        <v>-14.04</v>
      </c>
      <c r="H2107">
        <f>9+3+6+9+9+3+9+3+12+16+3+3+3+16</f>
        <v>104</v>
      </c>
    </row>
    <row r="2108" spans="2:8">
      <c r="B2108" s="3">
        <v>45658</v>
      </c>
      <c r="C2108" t="s">
        <v>109</v>
      </c>
      <c r="D2108">
        <f>VLOOKUP(C2108,成本价!$C$2:$D$1000,2,0)*H2108</f>
        <v>5.535</v>
      </c>
      <c r="E2108">
        <f>10.9+6.81+6.81+6.81+6.81</f>
        <v>38.14</v>
      </c>
      <c r="G2108">
        <f t="shared" si="40"/>
        <v>32.605</v>
      </c>
      <c r="H2108">
        <v>6</v>
      </c>
    </row>
    <row r="2109" spans="2:8">
      <c r="B2109" s="3">
        <v>45658</v>
      </c>
      <c r="C2109" t="s">
        <v>81</v>
      </c>
      <c r="D2109">
        <f>VLOOKUP(C2109,成本价!$C$2:$D$1000,2,0)*H2109</f>
        <v>5.64</v>
      </c>
      <c r="E2109">
        <v>16.22</v>
      </c>
      <c r="G2109">
        <f t="shared" si="40"/>
        <v>10.58</v>
      </c>
      <c r="H2109">
        <v>1</v>
      </c>
    </row>
    <row r="2110" spans="2:8">
      <c r="B2110" s="3">
        <v>45658</v>
      </c>
      <c r="C2110" t="s">
        <v>50</v>
      </c>
      <c r="D2110">
        <f>VLOOKUP(C2110,成本价!$C$2:$D$1000,2,0)*H2110</f>
        <v>2.749</v>
      </c>
      <c r="E2110">
        <v>10.86</v>
      </c>
      <c r="G2110">
        <f t="shared" si="40"/>
        <v>8.111</v>
      </c>
      <c r="H2110">
        <v>1</v>
      </c>
    </row>
    <row r="2111" spans="2:8">
      <c r="B2111" s="3">
        <v>45658</v>
      </c>
      <c r="C2111" t="s">
        <v>59</v>
      </c>
      <c r="D2111">
        <f>VLOOKUP(C2111,成本价!$C$2:$D$1000,2,0)*H2111</f>
        <v>8.7</v>
      </c>
      <c r="E2111">
        <v>30.56</v>
      </c>
      <c r="G2111">
        <f t="shared" si="40"/>
        <v>21.86</v>
      </c>
      <c r="H2111">
        <v>1</v>
      </c>
    </row>
    <row r="2112" spans="2:8">
      <c r="B2112" s="3">
        <v>45658</v>
      </c>
      <c r="C2112" t="s">
        <v>90</v>
      </c>
      <c r="D2112">
        <f>VLOOKUP(C2112,成本价!$C$2:$D$1000,2,0)*H2112</f>
        <v>2.6</v>
      </c>
      <c r="G2112">
        <f t="shared" si="40"/>
        <v>-2.6</v>
      </c>
      <c r="H2112">
        <v>1</v>
      </c>
    </row>
    <row r="2113" spans="2:8">
      <c r="B2113" s="3">
        <v>45658</v>
      </c>
      <c r="C2113" t="s">
        <v>80</v>
      </c>
      <c r="D2113">
        <f>VLOOKUP(C2113,成本价!$C$2:$D$1000,2,0)*H2113</f>
        <v>8.1</v>
      </c>
      <c r="E2113">
        <v>17.16</v>
      </c>
      <c r="G2113">
        <f t="shared" si="40"/>
        <v>9.06</v>
      </c>
      <c r="H2113">
        <v>1</v>
      </c>
    </row>
    <row r="2114" spans="2:8">
      <c r="B2114" s="3">
        <v>45658</v>
      </c>
      <c r="C2114" t="s">
        <v>71</v>
      </c>
      <c r="D2114">
        <f>VLOOKUP(C2114,成本价!$C$2:$D$1000,2,0)*H2114</f>
        <v>1.191</v>
      </c>
      <c r="E2114">
        <v>8.4</v>
      </c>
      <c r="G2114">
        <f t="shared" si="40"/>
        <v>7.209</v>
      </c>
      <c r="H2114">
        <v>1</v>
      </c>
    </row>
    <row r="2115" spans="2:8">
      <c r="B2115" s="3">
        <v>45658</v>
      </c>
      <c r="C2115" t="s">
        <v>33</v>
      </c>
      <c r="D2115">
        <f>VLOOKUP(C2115,成本价!$C$2:$D$1000,2,0)*H2115</f>
        <v>1.7</v>
      </c>
      <c r="E2115">
        <v>7.39</v>
      </c>
      <c r="G2115">
        <f t="shared" si="40"/>
        <v>5.69</v>
      </c>
      <c r="H2115">
        <v>1</v>
      </c>
    </row>
    <row r="2116" spans="2:8">
      <c r="B2116" s="3">
        <v>45658</v>
      </c>
      <c r="C2116" t="s">
        <v>33</v>
      </c>
      <c r="D2116">
        <f>VLOOKUP(C2116,成本价!$C$2:$D$1000,2,0)*H2116</f>
        <v>3.4</v>
      </c>
      <c r="E2116">
        <v>12.86</v>
      </c>
      <c r="G2116">
        <f t="shared" si="40"/>
        <v>9.46</v>
      </c>
      <c r="H2116">
        <v>2</v>
      </c>
    </row>
    <row r="2117" spans="2:8">
      <c r="B2117" s="3">
        <v>45658</v>
      </c>
      <c r="C2117" t="s">
        <v>61</v>
      </c>
      <c r="D2117">
        <f>VLOOKUP(C2117,成本价!$C$2:$D$1000,2,0)*H2117</f>
        <v>20.1</v>
      </c>
      <c r="E2117">
        <v>36.51</v>
      </c>
      <c r="G2117">
        <f t="shared" si="40"/>
        <v>16.41</v>
      </c>
      <c r="H2117">
        <v>1</v>
      </c>
    </row>
    <row r="2118" spans="2:8">
      <c r="B2118" s="3">
        <v>45658</v>
      </c>
      <c r="C2118" t="s">
        <v>71</v>
      </c>
      <c r="D2118">
        <f>VLOOKUP(C2118,成本价!$C$2:$D$1000,2,0)*H2118</f>
        <v>3.573</v>
      </c>
      <c r="E2118">
        <v>13.06</v>
      </c>
      <c r="G2118">
        <f t="shared" si="40"/>
        <v>9.487</v>
      </c>
      <c r="H2118">
        <v>3</v>
      </c>
    </row>
    <row r="2119" spans="2:8">
      <c r="B2119" s="3">
        <v>45658</v>
      </c>
      <c r="C2119" t="s">
        <v>49</v>
      </c>
      <c r="D2119">
        <f>VLOOKUP(C2119,成本价!$C$2:$D$1000,2,0)*H2119</f>
        <v>1.975</v>
      </c>
      <c r="E2119">
        <v>9.67</v>
      </c>
      <c r="G2119">
        <f t="shared" si="40"/>
        <v>7.695</v>
      </c>
      <c r="H2119">
        <v>1</v>
      </c>
    </row>
    <row r="2120" spans="2:8">
      <c r="B2120" s="3">
        <v>45658</v>
      </c>
      <c r="C2120" t="s">
        <v>63</v>
      </c>
      <c r="D2120">
        <f>VLOOKUP(C2120,成本价!$C$2:$D$1000,2,0)*H2120</f>
        <v>5.1</v>
      </c>
      <c r="E2120">
        <v>17.45</v>
      </c>
      <c r="G2120">
        <f t="shared" si="40"/>
        <v>12.35</v>
      </c>
      <c r="H2120">
        <v>1</v>
      </c>
    </row>
    <row r="2121" spans="2:8">
      <c r="B2121" s="3">
        <v>45658</v>
      </c>
      <c r="C2121" t="s">
        <v>27</v>
      </c>
      <c r="D2121">
        <f>VLOOKUP(C2121,成本价!$C$2:$D$1000,2,0)*H2121</f>
        <v>2.7</v>
      </c>
      <c r="E2121">
        <v>7.18</v>
      </c>
      <c r="G2121">
        <f t="shared" si="40"/>
        <v>4.48</v>
      </c>
      <c r="H2121">
        <v>1.5</v>
      </c>
    </row>
    <row r="2122" spans="2:10">
      <c r="B2122" s="3">
        <v>45658</v>
      </c>
      <c r="C2122" t="s">
        <v>36</v>
      </c>
      <c r="D2122">
        <f>VLOOKUP(C2122,成本价!$C$2:$D$1000,2,0)*H2122</f>
        <v>9.28</v>
      </c>
      <c r="E2122">
        <v>119.04</v>
      </c>
      <c r="G2122">
        <f t="shared" si="40"/>
        <v>109.76</v>
      </c>
      <c r="H2122">
        <v>4</v>
      </c>
      <c r="J2122" s="2" t="s">
        <v>74</v>
      </c>
    </row>
    <row r="2123" spans="2:10">
      <c r="B2123" s="3">
        <v>45658</v>
      </c>
      <c r="C2123" t="s">
        <v>37</v>
      </c>
      <c r="D2123">
        <f>VLOOKUP(C2123,成本价!$C$2:$D$1000,2,0)*H2123</f>
        <v>10.16</v>
      </c>
      <c r="G2123">
        <f t="shared" si="40"/>
        <v>-10.16</v>
      </c>
      <c r="H2123">
        <v>4</v>
      </c>
      <c r="J2123" s="2" t="s">
        <v>74</v>
      </c>
    </row>
    <row r="2124" spans="2:10">
      <c r="B2124" s="3">
        <v>45658</v>
      </c>
      <c r="C2124" t="s">
        <v>69</v>
      </c>
      <c r="D2124">
        <f>VLOOKUP(C2124,成本价!$C$2:$D$1000,2,0)*H2124</f>
        <v>17.12</v>
      </c>
      <c r="G2124">
        <f t="shared" si="40"/>
        <v>-17.12</v>
      </c>
      <c r="H2124">
        <v>1</v>
      </c>
      <c r="J2124" s="2" t="s">
        <v>74</v>
      </c>
    </row>
    <row r="2125" spans="2:10">
      <c r="B2125" s="3">
        <v>45658</v>
      </c>
      <c r="C2125" t="s">
        <v>112</v>
      </c>
      <c r="D2125">
        <f>VLOOKUP(C2125,成本价!$C$2:$D$1000,2,0)*H2125</f>
        <v>6.6</v>
      </c>
      <c r="G2125">
        <f t="shared" si="40"/>
        <v>-6.6</v>
      </c>
      <c r="H2125">
        <v>2</v>
      </c>
      <c r="J2125" s="2" t="s">
        <v>74</v>
      </c>
    </row>
    <row r="2126" spans="9:9">
      <c r="I2126">
        <v>153.98</v>
      </c>
    </row>
    <row r="2127" spans="2:8">
      <c r="B2127" s="3">
        <v>45659</v>
      </c>
      <c r="C2127" t="s">
        <v>33</v>
      </c>
      <c r="D2127">
        <f>VLOOKUP(C2127,成本价!$C$2:$D$1000,2,0)*H2127</f>
        <v>5.1</v>
      </c>
      <c r="E2127">
        <f>6.28*2</f>
        <v>12.56</v>
      </c>
      <c r="F2127" s="2">
        <f>3.5*33</f>
        <v>115.5</v>
      </c>
      <c r="G2127">
        <f t="shared" si="40"/>
        <v>7.46</v>
      </c>
      <c r="H2127">
        <v>3</v>
      </c>
    </row>
    <row r="2128" spans="2:8">
      <c r="B2128" s="3">
        <v>45659</v>
      </c>
      <c r="C2128" t="s">
        <v>27</v>
      </c>
      <c r="D2128">
        <f>VLOOKUP(C2128,成本价!$C$2:$D$1000,2,0)*H2128</f>
        <v>1.8</v>
      </c>
      <c r="E2128">
        <f>6.28+6.29</f>
        <v>12.57</v>
      </c>
      <c r="G2128">
        <f t="shared" si="40"/>
        <v>10.77</v>
      </c>
      <c r="H2128">
        <v>1</v>
      </c>
    </row>
    <row r="2129" spans="2:8">
      <c r="B2129" s="3">
        <v>45659</v>
      </c>
      <c r="C2129" t="s">
        <v>87</v>
      </c>
      <c r="D2129">
        <f>VLOOKUP(C2129,成本价!$C$2:$D$1000,2,0)*H2129</f>
        <v>9.5625</v>
      </c>
      <c r="E2129">
        <f>6.81+13.78+7.98+7.98+6.81+13.78+6.81+6.81+7.98+13.78+13.78+6.81+6.81+6.81+6.81</f>
        <v>133.54</v>
      </c>
      <c r="G2129">
        <f t="shared" si="40"/>
        <v>123.9775</v>
      </c>
      <c r="H2129">
        <f>8+9+9+5+8+6+9+8+4+3+6</f>
        <v>75</v>
      </c>
    </row>
    <row r="2130" spans="2:8">
      <c r="B2130" s="3">
        <v>45659</v>
      </c>
      <c r="C2130" t="s">
        <v>88</v>
      </c>
      <c r="D2130">
        <f>VLOOKUP(C2130,成本价!$C$2:$D$1000,2,0)*H2130</f>
        <v>14.445</v>
      </c>
      <c r="G2130">
        <f t="shared" si="40"/>
        <v>-14.445</v>
      </c>
      <c r="H2130">
        <f>9+3+9+16+12+3+9+3+12+4+3+3+12+9</f>
        <v>107</v>
      </c>
    </row>
    <row r="2131" spans="2:8">
      <c r="B2131" s="3">
        <v>45659</v>
      </c>
      <c r="C2131" t="s">
        <v>109</v>
      </c>
      <c r="D2131">
        <f>VLOOKUP(C2131,成本价!$C$2:$D$1000,2,0)*H2131</f>
        <v>3.69</v>
      </c>
      <c r="E2131">
        <f>10.9+5.81+6.81</f>
        <v>23.52</v>
      </c>
      <c r="G2131">
        <f t="shared" si="40"/>
        <v>19.83</v>
      </c>
      <c r="H2131">
        <v>4</v>
      </c>
    </row>
    <row r="2132" spans="2:8">
      <c r="B2132" s="3">
        <v>45659</v>
      </c>
      <c r="C2132" t="s">
        <v>16</v>
      </c>
      <c r="D2132">
        <f>VLOOKUP(C2132,成本价!$C$2:$D$1000,2,0)*H2132</f>
        <v>2.7</v>
      </c>
      <c r="E2132">
        <v>17.2</v>
      </c>
      <c r="G2132">
        <f t="shared" si="40"/>
        <v>14.5</v>
      </c>
      <c r="H2132">
        <v>1</v>
      </c>
    </row>
    <row r="2133" spans="2:8">
      <c r="B2133" s="3">
        <v>45659</v>
      </c>
      <c r="C2133" t="s">
        <v>20</v>
      </c>
      <c r="D2133">
        <f>VLOOKUP(C2133,成本价!$C$2:$D$1000,2,0)*H2133</f>
        <v>6</v>
      </c>
      <c r="G2133">
        <f t="shared" si="40"/>
        <v>-6</v>
      </c>
      <c r="H2133">
        <v>2</v>
      </c>
    </row>
    <row r="2134" spans="2:8">
      <c r="B2134" s="3">
        <v>45659</v>
      </c>
      <c r="C2134" t="s">
        <v>43</v>
      </c>
      <c r="D2134">
        <f>VLOOKUP(C2134,成本价!$C$2:$D$1000,2,0)*H2134</f>
        <v>3.03</v>
      </c>
      <c r="E2134">
        <v>7.01</v>
      </c>
      <c r="G2134">
        <f t="shared" si="40"/>
        <v>3.98</v>
      </c>
      <c r="H2134">
        <v>1.5</v>
      </c>
    </row>
    <row r="2135" spans="2:8">
      <c r="B2135" s="3">
        <v>45659</v>
      </c>
      <c r="C2135" t="s">
        <v>44</v>
      </c>
      <c r="D2135">
        <f>VLOOKUP(C2135,成本价!$C$2:$D$1000,2,0)*H2135</f>
        <v>0.397</v>
      </c>
      <c r="E2135">
        <v>8.7</v>
      </c>
      <c r="G2135">
        <f t="shared" si="40"/>
        <v>8.303</v>
      </c>
      <c r="H2135">
        <v>1</v>
      </c>
    </row>
    <row r="2136" spans="2:8">
      <c r="B2136" s="3">
        <v>45659</v>
      </c>
      <c r="C2136" t="s">
        <v>80</v>
      </c>
      <c r="D2136">
        <f>VLOOKUP(C2136,成本价!$C$2:$D$1000,2,0)*H2136</f>
        <v>8.1</v>
      </c>
      <c r="E2136">
        <v>17.16</v>
      </c>
      <c r="G2136">
        <f t="shared" si="40"/>
        <v>9.06</v>
      </c>
      <c r="H2136">
        <v>1</v>
      </c>
    </row>
    <row r="2137" spans="2:8">
      <c r="B2137" s="3">
        <v>45659</v>
      </c>
      <c r="C2137" t="s">
        <v>54</v>
      </c>
      <c r="D2137">
        <f>VLOOKUP(C2137,成本价!$C$2:$D$1000,2,0)*H2137</f>
        <v>14.7</v>
      </c>
      <c r="E2137">
        <v>27.97</v>
      </c>
      <c r="G2137">
        <f t="shared" si="40"/>
        <v>13.27</v>
      </c>
      <c r="H2137">
        <v>1</v>
      </c>
    </row>
    <row r="2138" spans="2:8">
      <c r="B2138" s="3">
        <v>45659</v>
      </c>
      <c r="C2138" t="s">
        <v>54</v>
      </c>
      <c r="D2138">
        <f>VLOOKUP(C2138,成本价!$C$2:$D$1000,2,0)*H2138</f>
        <v>14.7</v>
      </c>
      <c r="E2138">
        <v>27.4</v>
      </c>
      <c r="G2138">
        <f t="shared" si="40"/>
        <v>12.7</v>
      </c>
      <c r="H2138">
        <v>1</v>
      </c>
    </row>
    <row r="2139" spans="2:8">
      <c r="B2139" s="3">
        <v>45659</v>
      </c>
      <c r="C2139" t="s">
        <v>23</v>
      </c>
      <c r="D2139">
        <f>VLOOKUP(C2139,成本价!$C$2:$D$1000,2,0)*H2139</f>
        <v>2.08</v>
      </c>
      <c r="E2139">
        <v>7.35</v>
      </c>
      <c r="G2139">
        <f t="shared" si="40"/>
        <v>5.27</v>
      </c>
      <c r="H2139">
        <v>1</v>
      </c>
    </row>
    <row r="2140" spans="2:8">
      <c r="B2140" s="3">
        <v>45659</v>
      </c>
      <c r="C2140" t="s">
        <v>28</v>
      </c>
      <c r="D2140">
        <f>VLOOKUP(C2140,成本价!$C$2:$D$1000,2,0)*H2140</f>
        <v>2.22</v>
      </c>
      <c r="E2140">
        <v>7.35</v>
      </c>
      <c r="G2140">
        <f t="shared" si="40"/>
        <v>5.13</v>
      </c>
      <c r="H2140">
        <v>1</v>
      </c>
    </row>
    <row r="2141" spans="2:8">
      <c r="B2141" s="3">
        <v>45659</v>
      </c>
      <c r="C2141" t="s">
        <v>63</v>
      </c>
      <c r="D2141">
        <f>VLOOKUP(C2141,成本价!$C$2:$D$1000,2,0)*H2141</f>
        <v>0.255</v>
      </c>
      <c r="E2141">
        <v>4.46</v>
      </c>
      <c r="G2141">
        <f t="shared" si="40"/>
        <v>4.205</v>
      </c>
      <c r="H2141">
        <f>1/60*3</f>
        <v>0.05</v>
      </c>
    </row>
    <row r="2142" spans="2:8">
      <c r="B2142" s="3">
        <v>45659</v>
      </c>
      <c r="C2142" t="s">
        <v>60</v>
      </c>
      <c r="D2142">
        <f>VLOOKUP(C2142,成本价!$C$2:$D$1000,2,0)*H2142</f>
        <v>5.2</v>
      </c>
      <c r="E2142">
        <v>18.22</v>
      </c>
      <c r="G2142">
        <f t="shared" si="40"/>
        <v>13.02</v>
      </c>
      <c r="H2142">
        <v>1</v>
      </c>
    </row>
    <row r="2143" spans="2:8">
      <c r="B2143" s="3">
        <v>45659</v>
      </c>
      <c r="C2143" t="s">
        <v>94</v>
      </c>
      <c r="D2143">
        <f>VLOOKUP(C2143,成本价!$C$2:$D$1000,2,0)*H2143</f>
        <v>7.8</v>
      </c>
      <c r="E2143" s="2">
        <f>7.93+10.57</f>
        <v>18.5</v>
      </c>
      <c r="G2143">
        <f t="shared" si="40"/>
        <v>10.7</v>
      </c>
      <c r="H2143">
        <v>2</v>
      </c>
    </row>
    <row r="2144" spans="2:8">
      <c r="B2144" s="3">
        <v>45659</v>
      </c>
      <c r="C2144" t="s">
        <v>61</v>
      </c>
      <c r="D2144">
        <f>VLOOKUP(C2144,成本价!$C$2:$D$1000,2,0)*H2144</f>
        <v>20.1</v>
      </c>
      <c r="E2144" s="2">
        <v>36.51</v>
      </c>
      <c r="G2144">
        <f t="shared" si="40"/>
        <v>16.41</v>
      </c>
      <c r="H2144">
        <v>1</v>
      </c>
    </row>
    <row r="2145" spans="2:8">
      <c r="B2145" s="3">
        <v>45659</v>
      </c>
      <c r="C2145" t="s">
        <v>71</v>
      </c>
      <c r="D2145">
        <f>VLOOKUP(C2145,成本价!$C$2:$D$1000,2,0)*H2145</f>
        <v>1.191</v>
      </c>
      <c r="E2145" s="2">
        <v>7.82</v>
      </c>
      <c r="G2145">
        <f t="shared" si="40"/>
        <v>6.629</v>
      </c>
      <c r="H2145">
        <v>1</v>
      </c>
    </row>
    <row r="2146" spans="2:8">
      <c r="B2146" s="3">
        <v>45659</v>
      </c>
      <c r="C2146" t="s">
        <v>58</v>
      </c>
      <c r="D2146">
        <f>VLOOKUP(C2146,成本价!$C$2:$D$1000,2,0)*H2146</f>
        <v>8.4</v>
      </c>
      <c r="E2146" s="2">
        <v>17.16</v>
      </c>
      <c r="G2146">
        <f t="shared" si="40"/>
        <v>8.76</v>
      </c>
      <c r="H2146">
        <v>1</v>
      </c>
    </row>
    <row r="2147" spans="2:8">
      <c r="B2147" s="3">
        <v>45659</v>
      </c>
      <c r="C2147" t="s">
        <v>58</v>
      </c>
      <c r="D2147">
        <f>VLOOKUP(C2147,成本价!$C$2:$D$1000,2,0)*H2147</f>
        <v>84</v>
      </c>
      <c r="E2147" s="2">
        <v>154.36</v>
      </c>
      <c r="G2147">
        <f t="shared" si="40"/>
        <v>70.36</v>
      </c>
      <c r="H2147">
        <v>10</v>
      </c>
    </row>
    <row r="2148" spans="2:8">
      <c r="B2148" s="3">
        <v>45659</v>
      </c>
      <c r="C2148" t="s">
        <v>66</v>
      </c>
      <c r="D2148">
        <f>VLOOKUP(C2148,成本价!$C$2:$D$1000,2,0)*H2148</f>
        <v>6.24</v>
      </c>
      <c r="E2148" s="2">
        <v>17.9</v>
      </c>
      <c r="G2148">
        <f t="shared" si="40"/>
        <v>11.66</v>
      </c>
      <c r="H2148">
        <v>1</v>
      </c>
    </row>
    <row r="2149" spans="2:9">
      <c r="B2149" s="3"/>
      <c r="I2149">
        <v>222.02</v>
      </c>
    </row>
    <row r="2150" spans="2:8">
      <c r="B2150" s="3">
        <v>45660</v>
      </c>
      <c r="C2150" t="s">
        <v>87</v>
      </c>
      <c r="D2150">
        <f>VLOOKUP(C2150,成本价!$C$2:$D$1000,2,0)*H2150</f>
        <v>12.3675</v>
      </c>
      <c r="E2150">
        <f>6.81+5.45+5.45+13.78+13.78+7.98+21.8+7.98+7.98</f>
        <v>91.01</v>
      </c>
      <c r="F2150">
        <f>22*3.5</f>
        <v>77</v>
      </c>
      <c r="G2150">
        <f t="shared" si="40"/>
        <v>78.6425</v>
      </c>
      <c r="H2150">
        <f>3+3+36+9+18+4+9+9+6</f>
        <v>97</v>
      </c>
    </row>
    <row r="2151" spans="2:8">
      <c r="B2151" s="3">
        <v>45660</v>
      </c>
      <c r="C2151" t="s">
        <v>88</v>
      </c>
      <c r="D2151">
        <f>VLOOKUP(C2151,成本价!$C$2:$D$1000,2,0)*H2151</f>
        <v>5.67</v>
      </c>
      <c r="G2151">
        <f t="shared" si="40"/>
        <v>-5.67</v>
      </c>
      <c r="H2151">
        <f>3+16+2+3+9+9</f>
        <v>42</v>
      </c>
    </row>
    <row r="2152" spans="2:8">
      <c r="B2152" s="3">
        <v>45660</v>
      </c>
      <c r="C2152" t="s">
        <v>109</v>
      </c>
      <c r="D2152">
        <f>VLOOKUP(C2152,成本价!$C$2:$D$1000,2,0)*H2152</f>
        <v>4.6125</v>
      </c>
      <c r="E2152">
        <f>6.81+6.81+10.9+6.81</f>
        <v>31.33</v>
      </c>
      <c r="G2152">
        <f t="shared" ref="G2152:G2215" si="41">E2152-D2152</f>
        <v>26.7175</v>
      </c>
      <c r="H2152">
        <v>5</v>
      </c>
    </row>
    <row r="2153" spans="2:8">
      <c r="B2153" s="3">
        <v>45660</v>
      </c>
      <c r="C2153" t="s">
        <v>54</v>
      </c>
      <c r="D2153">
        <f>VLOOKUP(C2153,成本价!$C$2:$D$1000,2,0)*H2153</f>
        <v>14.7</v>
      </c>
      <c r="E2153">
        <v>27.97</v>
      </c>
      <c r="G2153">
        <f t="shared" si="41"/>
        <v>13.27</v>
      </c>
      <c r="H2153">
        <v>1</v>
      </c>
    </row>
    <row r="2154" spans="2:8">
      <c r="B2154" s="3">
        <v>45660</v>
      </c>
      <c r="C2154" t="s">
        <v>114</v>
      </c>
      <c r="D2154">
        <f>VLOOKUP(C2154,成本价!$C$2:$D$1000,2,0)*H2154</f>
        <v>0.2304</v>
      </c>
      <c r="E2154">
        <v>7.4</v>
      </c>
      <c r="G2154">
        <f t="shared" si="41"/>
        <v>7.1696</v>
      </c>
      <c r="H2154">
        <v>1</v>
      </c>
    </row>
    <row r="2155" spans="2:8">
      <c r="B2155" s="3">
        <v>45660</v>
      </c>
      <c r="C2155" t="s">
        <v>94</v>
      </c>
      <c r="D2155">
        <f>VLOOKUP(C2155,成本价!$C$2:$D$1000,2,0)*H2155</f>
        <v>3.9</v>
      </c>
      <c r="E2155">
        <v>10.81</v>
      </c>
      <c r="G2155">
        <f t="shared" si="41"/>
        <v>6.91</v>
      </c>
      <c r="H2155">
        <v>1</v>
      </c>
    </row>
    <row r="2156" spans="2:8">
      <c r="B2156" s="3">
        <v>45660</v>
      </c>
      <c r="C2156" t="s">
        <v>50</v>
      </c>
      <c r="D2156">
        <f>VLOOKUP(C2156,成本价!$C$2:$D$1000,2,0)*H2156</f>
        <v>2.749</v>
      </c>
      <c r="E2156">
        <v>11.64</v>
      </c>
      <c r="G2156">
        <f t="shared" si="41"/>
        <v>8.891</v>
      </c>
      <c r="H2156">
        <v>1</v>
      </c>
    </row>
    <row r="2157" spans="2:8">
      <c r="B2157" s="3">
        <v>45660</v>
      </c>
      <c r="C2157" t="s">
        <v>49</v>
      </c>
      <c r="D2157">
        <f>VLOOKUP(C2157,成本价!$C$2:$D$1000,2,0)*H2157</f>
        <v>1.975</v>
      </c>
      <c r="E2157">
        <v>10.36</v>
      </c>
      <c r="G2157">
        <f t="shared" si="41"/>
        <v>8.385</v>
      </c>
      <c r="H2157">
        <v>1</v>
      </c>
    </row>
    <row r="2158" spans="2:8">
      <c r="B2158" s="3">
        <v>45660</v>
      </c>
      <c r="C2158" t="s">
        <v>16</v>
      </c>
      <c r="D2158">
        <f>VLOOKUP(C2158,成本价!$C$2:$D$1000,2,0)*H2158</f>
        <v>27</v>
      </c>
      <c r="E2158">
        <v>38.03</v>
      </c>
      <c r="G2158">
        <f t="shared" si="41"/>
        <v>11.03</v>
      </c>
      <c r="H2158">
        <v>10</v>
      </c>
    </row>
    <row r="2159" spans="2:8">
      <c r="B2159" s="3">
        <v>45660</v>
      </c>
      <c r="C2159" t="s">
        <v>20</v>
      </c>
      <c r="D2159">
        <f>VLOOKUP(C2159,成本价!$C$2:$D$1000,2,0)*H2159</f>
        <v>12</v>
      </c>
      <c r="E2159">
        <v>38.03</v>
      </c>
      <c r="G2159">
        <f t="shared" si="41"/>
        <v>26.03</v>
      </c>
      <c r="H2159">
        <v>4</v>
      </c>
    </row>
    <row r="2160" spans="2:8">
      <c r="B2160" s="3">
        <v>45660</v>
      </c>
      <c r="C2160" t="s">
        <v>98</v>
      </c>
      <c r="D2160">
        <f>VLOOKUP(C2160,成本价!$C$2:$D$1000,2,0)*H2160</f>
        <v>10.68</v>
      </c>
      <c r="E2160">
        <v>32.77</v>
      </c>
      <c r="G2160">
        <f t="shared" si="41"/>
        <v>22.09</v>
      </c>
      <c r="H2160">
        <v>1</v>
      </c>
    </row>
    <row r="2161" spans="2:8">
      <c r="B2161" s="3">
        <v>45660</v>
      </c>
      <c r="C2161" t="s">
        <v>92</v>
      </c>
      <c r="D2161">
        <f>VLOOKUP(C2161,成本价!$C$2:$D$1000,2,0)*H2161</f>
        <v>3</v>
      </c>
      <c r="G2161">
        <f t="shared" si="41"/>
        <v>-3</v>
      </c>
      <c r="H2161">
        <v>1</v>
      </c>
    </row>
    <row r="2162" spans="2:8">
      <c r="B2162" s="3">
        <v>45660</v>
      </c>
      <c r="C2162" t="s">
        <v>54</v>
      </c>
      <c r="D2162">
        <f>VLOOKUP(C2162,成本价!$C$2:$D$1000,2,0)*H2162</f>
        <v>14.7</v>
      </c>
      <c r="E2162">
        <v>27.97</v>
      </c>
      <c r="G2162">
        <f t="shared" si="41"/>
        <v>13.27</v>
      </c>
      <c r="H2162">
        <v>1</v>
      </c>
    </row>
    <row r="2163" spans="2:8">
      <c r="B2163" s="3">
        <v>45660</v>
      </c>
      <c r="C2163" t="s">
        <v>77</v>
      </c>
      <c r="D2163">
        <f>VLOOKUP(C2163,成本价!$C$2:$D$1000,2,0)*H2163</f>
        <v>0.4032</v>
      </c>
      <c r="E2163">
        <v>6.57</v>
      </c>
      <c r="G2163">
        <f t="shared" si="41"/>
        <v>6.1668</v>
      </c>
      <c r="H2163">
        <v>1</v>
      </c>
    </row>
    <row r="2164" spans="2:8">
      <c r="B2164" s="3">
        <v>45660</v>
      </c>
      <c r="C2164" t="s">
        <v>40</v>
      </c>
      <c r="D2164">
        <f>VLOOKUP(C2164,成本价!$C$2:$D$1000,2,0)*H2164</f>
        <v>2.82</v>
      </c>
      <c r="E2164">
        <v>6.9</v>
      </c>
      <c r="G2164">
        <f t="shared" si="41"/>
        <v>4.08</v>
      </c>
      <c r="H2164">
        <v>1.5</v>
      </c>
    </row>
    <row r="2165" spans="9:9">
      <c r="I2165">
        <v>135.97</v>
      </c>
    </row>
    <row r="2166" spans="2:8">
      <c r="B2166" s="3">
        <v>45661</v>
      </c>
      <c r="C2166" t="s">
        <v>87</v>
      </c>
      <c r="D2166">
        <f>VLOOKUP(C2166,成本价!$C$2:$D$1000,2,0)*H2166</f>
        <v>12.3675</v>
      </c>
      <c r="E2166">
        <f>7.98+6.81+6.81+6.81+7.98+5.45+5.45+7.98+10.9+7.98+7.98+13.78+6.81+13.78+6.81+7.98+13.78+6.81</f>
        <v>151.88</v>
      </c>
      <c r="F2166">
        <f>36*3.5</f>
        <v>126</v>
      </c>
      <c r="G2166">
        <f t="shared" si="41"/>
        <v>139.5125</v>
      </c>
      <c r="H2166">
        <f>8+3+4+6+4+9+9+6+6+3+9+3+3+9+6+9</f>
        <v>97</v>
      </c>
    </row>
    <row r="2167" spans="2:8">
      <c r="B2167" s="3">
        <v>45661</v>
      </c>
      <c r="C2167" t="s">
        <v>88</v>
      </c>
      <c r="D2167">
        <f>VLOOKUP(C2167,成本价!$C$2:$D$1000,2,0)*H2167</f>
        <v>17.82</v>
      </c>
      <c r="G2167">
        <f t="shared" si="41"/>
        <v>-17.82</v>
      </c>
      <c r="H2167">
        <f>3+3+9+9+6+9+9+3+3+3+3+16+3+16+9+9+12+7</f>
        <v>132</v>
      </c>
    </row>
    <row r="2168" spans="2:8">
      <c r="B2168" s="3">
        <v>45661</v>
      </c>
      <c r="C2168" t="s">
        <v>109</v>
      </c>
      <c r="D2168">
        <f>VLOOKUP(C2168,成本价!$C$2:$D$1000,2,0)*H2168</f>
        <v>8.3025</v>
      </c>
      <c r="E2168">
        <f>6.81+6.81+6.81+6.81+6.81+6.81+10.9+6.81</f>
        <v>58.57</v>
      </c>
      <c r="G2168">
        <f t="shared" si="41"/>
        <v>50.2675</v>
      </c>
      <c r="H2168">
        <v>9</v>
      </c>
    </row>
    <row r="2169" spans="2:8">
      <c r="B2169" s="3">
        <v>45661</v>
      </c>
      <c r="C2169" t="s">
        <v>63</v>
      </c>
      <c r="D2169">
        <f>VLOOKUP(C2169,成本价!$C$2:$D$1000,2,0)*H2169</f>
        <v>5.1</v>
      </c>
      <c r="E2169">
        <v>18.8</v>
      </c>
      <c r="G2169">
        <f t="shared" si="41"/>
        <v>13.7</v>
      </c>
      <c r="H2169">
        <v>1</v>
      </c>
    </row>
    <row r="2170" spans="2:8">
      <c r="B2170" s="3">
        <v>45661</v>
      </c>
      <c r="C2170" t="s">
        <v>36</v>
      </c>
      <c r="D2170">
        <f>VLOOKUP(C2170,成本价!$C$2:$D$1000,2,0)*H2170</f>
        <v>3.48</v>
      </c>
      <c r="E2170">
        <v>6.9</v>
      </c>
      <c r="G2170">
        <f t="shared" si="41"/>
        <v>3.42</v>
      </c>
      <c r="H2170">
        <v>1.5</v>
      </c>
    </row>
    <row r="2171" spans="2:8">
      <c r="B2171" s="3">
        <v>45661</v>
      </c>
      <c r="C2171" t="s">
        <v>23</v>
      </c>
      <c r="D2171">
        <f>VLOOKUP(C2171,成本价!$C$2:$D$1000,2,0)*H2171</f>
        <v>2.08</v>
      </c>
      <c r="E2171">
        <v>7.61</v>
      </c>
      <c r="G2171">
        <f t="shared" si="41"/>
        <v>5.53</v>
      </c>
      <c r="H2171">
        <v>1</v>
      </c>
    </row>
    <row r="2172" spans="2:8">
      <c r="B2172" s="3">
        <v>45661</v>
      </c>
      <c r="C2172" t="s">
        <v>36</v>
      </c>
      <c r="D2172">
        <f>VLOOKUP(C2172,成本价!$C$2:$D$1000,2,0)*H2172</f>
        <v>3.48</v>
      </c>
      <c r="E2172">
        <v>6.9</v>
      </c>
      <c r="G2172">
        <f t="shared" si="41"/>
        <v>3.42</v>
      </c>
      <c r="H2172">
        <v>1.5</v>
      </c>
    </row>
    <row r="2173" spans="2:8">
      <c r="B2173" s="3">
        <v>45661</v>
      </c>
      <c r="C2173" t="s">
        <v>12</v>
      </c>
      <c r="D2173">
        <f>VLOOKUP(C2173,成本价!$C$2:$D$1000,2,0)*H2173</f>
        <v>0.774</v>
      </c>
      <c r="E2173">
        <v>11.77</v>
      </c>
      <c r="G2173">
        <f t="shared" si="41"/>
        <v>10.996</v>
      </c>
      <c r="H2173">
        <v>2</v>
      </c>
    </row>
    <row r="2174" spans="2:8">
      <c r="B2174" s="3">
        <v>45661</v>
      </c>
      <c r="C2174" t="s">
        <v>44</v>
      </c>
      <c r="D2174">
        <f>VLOOKUP(C2174,成本价!$C$2:$D$1000,2,0)*H2174</f>
        <v>1.985</v>
      </c>
      <c r="G2174">
        <f t="shared" si="41"/>
        <v>-1.985</v>
      </c>
      <c r="H2174">
        <v>5</v>
      </c>
    </row>
    <row r="2175" spans="2:8">
      <c r="B2175" s="3">
        <v>45661</v>
      </c>
      <c r="C2175" t="s">
        <v>94</v>
      </c>
      <c r="D2175">
        <f>VLOOKUP(C2175,成本价!$C$2:$D$1000,2,0)*H2175</f>
        <v>3.9</v>
      </c>
      <c r="E2175">
        <v>7.81</v>
      </c>
      <c r="G2175">
        <f t="shared" si="41"/>
        <v>3.91</v>
      </c>
      <c r="H2175">
        <v>1</v>
      </c>
    </row>
    <row r="2176" spans="2:8">
      <c r="B2176" s="3">
        <v>45661</v>
      </c>
      <c r="C2176" t="s">
        <v>61</v>
      </c>
      <c r="D2176">
        <f>VLOOKUP(C2176,成本价!$C$2:$D$1000,2,0)*H2176</f>
        <v>20.1</v>
      </c>
      <c r="E2176">
        <v>37.44</v>
      </c>
      <c r="G2176">
        <f t="shared" si="41"/>
        <v>17.34</v>
      </c>
      <c r="H2176">
        <v>1</v>
      </c>
    </row>
    <row r="2177" spans="2:8">
      <c r="B2177" s="3">
        <v>45661</v>
      </c>
      <c r="C2177" t="s">
        <v>80</v>
      </c>
      <c r="D2177">
        <f>VLOOKUP(C2177,成本价!$C$2:$D$1000,2,0)*H2177</f>
        <v>8.1</v>
      </c>
      <c r="E2177">
        <v>17.16</v>
      </c>
      <c r="G2177">
        <f t="shared" si="41"/>
        <v>9.06</v>
      </c>
      <c r="H2177">
        <v>1</v>
      </c>
    </row>
    <row r="2178" spans="2:8">
      <c r="B2178" s="3">
        <v>45661</v>
      </c>
      <c r="C2178" t="s">
        <v>50</v>
      </c>
      <c r="D2178">
        <f>VLOOKUP(C2178,成本价!$C$2:$D$1000,2,0)*H2178</f>
        <v>2.749</v>
      </c>
      <c r="E2178">
        <v>11.64</v>
      </c>
      <c r="G2178">
        <f t="shared" si="41"/>
        <v>8.891</v>
      </c>
      <c r="H2178">
        <v>1</v>
      </c>
    </row>
    <row r="2179" spans="2:8">
      <c r="B2179" s="3">
        <v>45661</v>
      </c>
      <c r="C2179" t="s">
        <v>80</v>
      </c>
      <c r="D2179">
        <f>VLOOKUP(C2179,成本价!$C$2:$D$1000,2,0)*H2179</f>
        <v>24.3</v>
      </c>
      <c r="E2179">
        <v>17.2</v>
      </c>
      <c r="G2179">
        <f t="shared" si="41"/>
        <v>-7.1</v>
      </c>
      <c r="H2179">
        <v>3</v>
      </c>
    </row>
    <row r="2180" spans="2:8">
      <c r="B2180" s="3">
        <v>45661</v>
      </c>
      <c r="C2180" t="s">
        <v>12</v>
      </c>
      <c r="D2180">
        <f>VLOOKUP(C2180,成本价!$C$2:$D$1000,2,0)*H2180</f>
        <v>0.387</v>
      </c>
      <c r="E2180">
        <v>7.59</v>
      </c>
      <c r="G2180">
        <f t="shared" si="41"/>
        <v>7.203</v>
      </c>
      <c r="H2180">
        <v>1</v>
      </c>
    </row>
    <row r="2181" spans="2:8">
      <c r="B2181" s="3">
        <v>45661</v>
      </c>
      <c r="C2181" t="s">
        <v>44</v>
      </c>
      <c r="D2181">
        <f>VLOOKUP(C2181,成本价!$C$2:$D$1000,2,0)*H2181</f>
        <v>0.794</v>
      </c>
      <c r="G2181">
        <f t="shared" si="41"/>
        <v>-0.794</v>
      </c>
      <c r="H2181">
        <v>2</v>
      </c>
    </row>
    <row r="2182" spans="2:10">
      <c r="B2182" s="3">
        <v>45661</v>
      </c>
      <c r="C2182" t="s">
        <v>28</v>
      </c>
      <c r="D2182">
        <f>VLOOKUP(C2182,成本价!$C$2:$D$1000,2,0)*H2182</f>
        <v>2.22</v>
      </c>
      <c r="E2182">
        <v>7.89</v>
      </c>
      <c r="G2182">
        <f t="shared" si="41"/>
        <v>5.67</v>
      </c>
      <c r="H2182">
        <v>1</v>
      </c>
      <c r="J2182" s="2" t="s">
        <v>74</v>
      </c>
    </row>
    <row r="2183" spans="2:10">
      <c r="B2183" s="3">
        <v>45661</v>
      </c>
      <c r="C2183" t="s">
        <v>87</v>
      </c>
      <c r="D2183">
        <f>VLOOKUP(C2183,成本价!$C$2:$D$1000,2,0)*H2183</f>
        <v>2.295</v>
      </c>
      <c r="E2183">
        <v>16.26</v>
      </c>
      <c r="G2183">
        <f t="shared" si="41"/>
        <v>13.965</v>
      </c>
      <c r="H2183">
        <v>18</v>
      </c>
      <c r="J2183" s="2" t="s">
        <v>74</v>
      </c>
    </row>
    <row r="2184" spans="2:10">
      <c r="B2184" s="3">
        <v>45661</v>
      </c>
      <c r="C2184" t="s">
        <v>88</v>
      </c>
      <c r="D2184">
        <f>VLOOKUP(C2184,成本价!$C$2:$D$1000,2,0)*H2184</f>
        <v>2.43</v>
      </c>
      <c r="G2184">
        <f t="shared" si="41"/>
        <v>-2.43</v>
      </c>
      <c r="H2184">
        <v>18</v>
      </c>
      <c r="J2184" s="2" t="s">
        <v>74</v>
      </c>
    </row>
    <row r="2185" spans="2:9">
      <c r="B2185" s="3"/>
      <c r="I2185">
        <v>120.5</v>
      </c>
    </row>
    <row r="2186" spans="2:8">
      <c r="B2186" s="3">
        <v>45662</v>
      </c>
      <c r="C2186" t="s">
        <v>87</v>
      </c>
      <c r="D2186">
        <f>VLOOKUP(C2186,成本价!$C$2:$D$1000,2,0)*H2186</f>
        <v>13.26</v>
      </c>
      <c r="E2186">
        <f>13.78+10.9+7.98+13.78+7.98+6.81+7.98+6.81+19.16+6.81+7.98+6.81+5.22+13.78+7.98+7.98</f>
        <v>151.74</v>
      </c>
      <c r="F2186">
        <f>40*3.5</f>
        <v>140</v>
      </c>
      <c r="G2186">
        <f t="shared" si="41"/>
        <v>138.48</v>
      </c>
      <c r="H2186">
        <f>8+3+5+9+9+9+24+9+4+2+4+9+9</f>
        <v>104</v>
      </c>
    </row>
    <row r="2187" spans="2:8">
      <c r="B2187" s="3">
        <v>45662</v>
      </c>
      <c r="C2187" t="s">
        <v>88</v>
      </c>
      <c r="D2187">
        <f>VLOOKUP(C2187,成本价!$C$2:$D$1000,2,0)*H2187</f>
        <v>16.2</v>
      </c>
      <c r="G2187">
        <f t="shared" si="41"/>
        <v>-16.2</v>
      </c>
      <c r="H2187">
        <f>3+3+16+9+8+12+3+9+3+15+9+9+9+12</f>
        <v>120</v>
      </c>
    </row>
    <row r="2188" spans="2:8">
      <c r="B2188" s="3">
        <v>45662</v>
      </c>
      <c r="C2188" t="s">
        <v>109</v>
      </c>
      <c r="D2188">
        <f>VLOOKUP(C2188,成本价!$C$2:$D$1000,2,0)*H2188</f>
        <v>9.225</v>
      </c>
      <c r="E2188">
        <f>6.81+6.81+6.81+10.9+6.81+6.81+6.81+6.81+6.81</f>
        <v>65.38</v>
      </c>
      <c r="G2188">
        <f t="shared" si="41"/>
        <v>56.155</v>
      </c>
      <c r="H2188">
        <v>10</v>
      </c>
    </row>
    <row r="2189" spans="2:8">
      <c r="B2189" s="3">
        <v>45662</v>
      </c>
      <c r="C2189" t="s">
        <v>33</v>
      </c>
      <c r="D2189">
        <f>VLOOKUP(C2189,成本价!$C$2:$D$1000,2,0)*H2189</f>
        <v>3.4</v>
      </c>
      <c r="E2189">
        <f>4.77*2</f>
        <v>9.54</v>
      </c>
      <c r="G2189">
        <f t="shared" si="41"/>
        <v>6.14</v>
      </c>
      <c r="H2189">
        <v>2</v>
      </c>
    </row>
    <row r="2190" spans="2:8">
      <c r="B2190" s="3">
        <v>45662</v>
      </c>
      <c r="C2190" t="s">
        <v>58</v>
      </c>
      <c r="D2190">
        <f>VLOOKUP(C2190,成本价!$C$2:$D$1000,2,0)*H2190</f>
        <v>8.4</v>
      </c>
      <c r="E2190">
        <v>17.16</v>
      </c>
      <c r="G2190">
        <f t="shared" si="41"/>
        <v>8.76</v>
      </c>
      <c r="H2190">
        <v>1</v>
      </c>
    </row>
    <row r="2191" spans="2:8">
      <c r="B2191" s="3">
        <v>45662</v>
      </c>
      <c r="C2191" t="s">
        <v>33</v>
      </c>
      <c r="D2191">
        <f>VLOOKUP(C2191,成本价!$C$2:$D$1000,2,0)*H2191</f>
        <v>5.1</v>
      </c>
      <c r="E2191">
        <f>7.82*2</f>
        <v>15.64</v>
      </c>
      <c r="G2191">
        <f t="shared" si="41"/>
        <v>10.54</v>
      </c>
      <c r="H2191">
        <v>3</v>
      </c>
    </row>
    <row r="2192" spans="2:8">
      <c r="B2192" s="3">
        <v>45662</v>
      </c>
      <c r="C2192" t="s">
        <v>33</v>
      </c>
      <c r="D2192">
        <f>VLOOKUP(C2192,成本价!$C$2:$D$1000,2,0)*H2192</f>
        <v>2.55</v>
      </c>
      <c r="E2192">
        <v>7.83</v>
      </c>
      <c r="G2192">
        <f t="shared" si="41"/>
        <v>5.28</v>
      </c>
      <c r="H2192">
        <v>1.5</v>
      </c>
    </row>
    <row r="2193" spans="2:8">
      <c r="B2193" s="3">
        <v>45662</v>
      </c>
      <c r="C2193" t="s">
        <v>57</v>
      </c>
      <c r="D2193">
        <f>VLOOKUP(C2193,成本价!$C$2:$D$1000,2,0)*H2193</f>
        <v>8.9</v>
      </c>
      <c r="E2193">
        <v>30.94</v>
      </c>
      <c r="G2193">
        <f t="shared" si="41"/>
        <v>22.04</v>
      </c>
      <c r="H2193">
        <v>1</v>
      </c>
    </row>
    <row r="2194" spans="2:8">
      <c r="B2194" s="3">
        <v>45662</v>
      </c>
      <c r="C2194" t="s">
        <v>90</v>
      </c>
      <c r="D2194">
        <f>VLOOKUP(C2194,成本价!$C$2:$D$1000,2,0)*H2194</f>
        <v>2.6</v>
      </c>
      <c r="G2194">
        <f t="shared" si="41"/>
        <v>-2.6</v>
      </c>
      <c r="H2194">
        <v>1</v>
      </c>
    </row>
    <row r="2195" spans="2:8">
      <c r="B2195" s="3">
        <v>45662</v>
      </c>
      <c r="C2195" t="s">
        <v>75</v>
      </c>
      <c r="D2195">
        <f>VLOOKUP(C2195,成本价!$C$2:$D$1000,2,0)*H2195</f>
        <v>15.12</v>
      </c>
      <c r="E2195">
        <v>42.1</v>
      </c>
      <c r="G2195">
        <f t="shared" si="41"/>
        <v>26.98</v>
      </c>
      <c r="H2195">
        <v>1</v>
      </c>
    </row>
    <row r="2196" spans="2:8">
      <c r="B2196" s="3">
        <v>45662</v>
      </c>
      <c r="C2196" t="s">
        <v>92</v>
      </c>
      <c r="D2196">
        <f>VLOOKUP(C2196,成本价!$C$2:$D$1000,2,0)*H2196</f>
        <v>3</v>
      </c>
      <c r="G2196">
        <f t="shared" si="41"/>
        <v>-3</v>
      </c>
      <c r="H2196">
        <v>1</v>
      </c>
    </row>
    <row r="2197" spans="2:8">
      <c r="B2197" s="3">
        <v>45662</v>
      </c>
      <c r="C2197" t="s">
        <v>58</v>
      </c>
      <c r="D2197">
        <f>VLOOKUP(C2197,成本价!$C$2:$D$1000,2,0)*H2197</f>
        <v>8.4</v>
      </c>
      <c r="E2197">
        <v>17.16</v>
      </c>
      <c r="G2197">
        <f t="shared" si="41"/>
        <v>8.76</v>
      </c>
      <c r="H2197">
        <v>1</v>
      </c>
    </row>
    <row r="2198" spans="2:8">
      <c r="B2198" s="3">
        <v>45662</v>
      </c>
      <c r="C2198" t="s">
        <v>61</v>
      </c>
      <c r="D2198">
        <f>VLOOKUP(C2198,成本价!$C$2:$D$1000,2,0)*H2198</f>
        <v>40.2</v>
      </c>
      <c r="E2198">
        <v>74.88</v>
      </c>
      <c r="G2198">
        <f t="shared" si="41"/>
        <v>34.68</v>
      </c>
      <c r="H2198">
        <v>2</v>
      </c>
    </row>
    <row r="2199" spans="2:8">
      <c r="B2199" s="3">
        <v>45662</v>
      </c>
      <c r="C2199" t="s">
        <v>23</v>
      </c>
      <c r="D2199">
        <f>VLOOKUP(C2199,成本价!$C$2:$D$1000,2,0)*H2199</f>
        <v>2.08</v>
      </c>
      <c r="E2199">
        <v>7.52</v>
      </c>
      <c r="G2199">
        <f t="shared" si="41"/>
        <v>5.44</v>
      </c>
      <c r="H2199">
        <v>1</v>
      </c>
    </row>
    <row r="2200" spans="2:8">
      <c r="B2200" s="3">
        <v>45662</v>
      </c>
      <c r="C2200" t="s">
        <v>28</v>
      </c>
      <c r="D2200">
        <f>VLOOKUP(C2200,成本价!$C$2:$D$1000,2,0)*H2200</f>
        <v>2.22</v>
      </c>
      <c r="E2200">
        <v>7.52</v>
      </c>
      <c r="G2200">
        <f t="shared" si="41"/>
        <v>5.3</v>
      </c>
      <c r="H2200">
        <v>1</v>
      </c>
    </row>
    <row r="2201" spans="2:8">
      <c r="B2201" s="3">
        <v>45662</v>
      </c>
      <c r="C2201" t="s">
        <v>50</v>
      </c>
      <c r="D2201">
        <f>VLOOKUP(C2201,成本价!$C$2:$D$1000,2,0)*H2201</f>
        <v>2.749</v>
      </c>
      <c r="E2201">
        <v>11.6</v>
      </c>
      <c r="G2201">
        <f t="shared" si="41"/>
        <v>8.851</v>
      </c>
      <c r="H2201">
        <v>1</v>
      </c>
    </row>
    <row r="2202" spans="2:8">
      <c r="B2202" s="3">
        <v>45662</v>
      </c>
      <c r="C2202" t="s">
        <v>97</v>
      </c>
      <c r="D2202">
        <f>VLOOKUP(C2202,成本价!$C$2:$D$1000,2,0)*H2202</f>
        <v>4.5</v>
      </c>
      <c r="E2202">
        <v>10.4</v>
      </c>
      <c r="G2202">
        <f t="shared" si="41"/>
        <v>5.9</v>
      </c>
      <c r="H2202">
        <v>1</v>
      </c>
    </row>
    <row r="2203" spans="2:8">
      <c r="B2203" s="3">
        <v>45662</v>
      </c>
      <c r="C2203" t="s">
        <v>96</v>
      </c>
      <c r="D2203">
        <f>VLOOKUP(C2203,成本价!$C$2:$D$1000,2,0)*H2203</f>
        <v>5.1</v>
      </c>
      <c r="E2203">
        <v>7.99</v>
      </c>
      <c r="G2203">
        <f t="shared" si="41"/>
        <v>2.89</v>
      </c>
      <c r="H2203">
        <v>1</v>
      </c>
    </row>
    <row r="2204" spans="2:8">
      <c r="B2204" s="3">
        <v>45662</v>
      </c>
      <c r="C2204" t="s">
        <v>94</v>
      </c>
      <c r="D2204">
        <f>VLOOKUP(C2204,成本价!$C$2:$D$1000,2,0)*H2204</f>
        <v>3.9</v>
      </c>
      <c r="E2204">
        <v>7.81</v>
      </c>
      <c r="G2204">
        <f t="shared" si="41"/>
        <v>3.91</v>
      </c>
      <c r="H2204">
        <v>1</v>
      </c>
    </row>
    <row r="2205" spans="2:10">
      <c r="B2205" s="3">
        <v>45662</v>
      </c>
      <c r="C2205" t="s">
        <v>28</v>
      </c>
      <c r="D2205">
        <f>VLOOKUP(C2205,成本价!$C$2:$D$1000,2,0)*H2205</f>
        <v>2.22</v>
      </c>
      <c r="E2205">
        <v>7.89</v>
      </c>
      <c r="G2205">
        <f t="shared" si="41"/>
        <v>5.67</v>
      </c>
      <c r="H2205">
        <v>1</v>
      </c>
      <c r="J2205" s="2" t="s">
        <v>74</v>
      </c>
    </row>
    <row r="2206" spans="2:10">
      <c r="B2206" s="3">
        <v>45662</v>
      </c>
      <c r="C2206" t="s">
        <v>33</v>
      </c>
      <c r="D2206">
        <f>VLOOKUP(C2206,成本价!$C$2:$D$1000,2,0)*H2206</f>
        <v>1.7</v>
      </c>
      <c r="E2206">
        <v>7.9</v>
      </c>
      <c r="G2206">
        <f t="shared" si="41"/>
        <v>6.2</v>
      </c>
      <c r="H2206">
        <v>1</v>
      </c>
      <c r="J2206" s="2" t="s">
        <v>74</v>
      </c>
    </row>
    <row r="2207" spans="9:9">
      <c r="I2207">
        <v>152.64</v>
      </c>
    </row>
    <row r="2208" spans="2:8">
      <c r="B2208" s="3">
        <v>45663</v>
      </c>
      <c r="C2208" t="s">
        <v>87</v>
      </c>
      <c r="D2208">
        <f>VLOOKUP(C2208,成本价!$C$2:$D$1000,2,0)*H2208</f>
        <v>26.3925</v>
      </c>
      <c r="E2208">
        <f>6.81+6.81+13.78+5.46+6.38+5.46+6.38+7.98+35.48+7.98+6.81+6.81+7.98+7.98+6.81+7.98+7.98+13.78+7.98+10.9+7.98+7.98+7.98+6.81+13.78+13.78</f>
        <v>245.84</v>
      </c>
      <c r="F2208">
        <f>54*3.5</f>
        <v>189</v>
      </c>
      <c r="G2208">
        <f t="shared" si="41"/>
        <v>219.4475</v>
      </c>
      <c r="H2208">
        <f>4+4+5+9+6+12+6+6+8+9+3+6+3+6+6+9+3+6+3+9+6+6+6+30+9+9+4+6+8</f>
        <v>207</v>
      </c>
    </row>
    <row r="2209" spans="2:8">
      <c r="B2209" s="3">
        <v>45663</v>
      </c>
      <c r="C2209" t="s">
        <v>88</v>
      </c>
      <c r="D2209">
        <f>VLOOKUP(C2209,成本价!$C$2:$D$1000,2,0)*H2209</f>
        <v>26.19</v>
      </c>
      <c r="G2209">
        <f t="shared" si="41"/>
        <v>-26.19</v>
      </c>
      <c r="H2209">
        <f>1+3+16+9+3+9+3+12+30+6+3+3+3+9+3+9+3+12+6+3+3+6+3+4+16+16</f>
        <v>194</v>
      </c>
    </row>
    <row r="2210" spans="2:8">
      <c r="B2210" s="3">
        <v>45663</v>
      </c>
      <c r="C2210" t="s">
        <v>109</v>
      </c>
      <c r="D2210">
        <f>VLOOKUP(C2210,成本价!$C$2:$D$1000,2,0)*H2210</f>
        <v>11.9925</v>
      </c>
      <c r="E2210">
        <f>6.81+6.81+6.81+6.81+6.81+6.81+6.81+27.24+6.81</f>
        <v>81.72</v>
      </c>
      <c r="G2210">
        <f t="shared" si="41"/>
        <v>69.7275</v>
      </c>
      <c r="H2210">
        <v>13</v>
      </c>
    </row>
    <row r="2211" spans="2:8">
      <c r="B2211" s="3">
        <v>45663</v>
      </c>
      <c r="C2211" t="s">
        <v>55</v>
      </c>
      <c r="D2211">
        <f>VLOOKUP(C2211,成本价!$C$2:$D$1000,2,0)*H2211</f>
        <v>1.171</v>
      </c>
      <c r="E2211">
        <v>8.01</v>
      </c>
      <c r="G2211">
        <f t="shared" si="41"/>
        <v>6.839</v>
      </c>
      <c r="H2211">
        <v>1</v>
      </c>
    </row>
    <row r="2212" spans="2:8">
      <c r="B2212" s="3">
        <v>45663</v>
      </c>
      <c r="C2212" t="s">
        <v>55</v>
      </c>
      <c r="D2212">
        <f>VLOOKUP(C2212,成本价!$C$2:$D$1000,2,0)*H2212</f>
        <v>1.171</v>
      </c>
      <c r="E2212">
        <v>8.01</v>
      </c>
      <c r="G2212">
        <f t="shared" si="41"/>
        <v>6.839</v>
      </c>
      <c r="H2212">
        <v>1</v>
      </c>
    </row>
    <row r="2213" spans="2:8">
      <c r="B2213" s="3">
        <v>45663</v>
      </c>
      <c r="C2213" t="s">
        <v>40</v>
      </c>
      <c r="D2213">
        <f>VLOOKUP(C2213,成本价!$C$2:$D$1000,2,0)*H2213</f>
        <v>2.82</v>
      </c>
      <c r="E2213">
        <v>6.9</v>
      </c>
      <c r="G2213">
        <f t="shared" si="41"/>
        <v>4.08</v>
      </c>
      <c r="H2213">
        <v>1.5</v>
      </c>
    </row>
    <row r="2214" spans="2:8">
      <c r="B2214" s="3">
        <v>45663</v>
      </c>
      <c r="C2214" t="s">
        <v>101</v>
      </c>
      <c r="D2214">
        <f>VLOOKUP(C2214,成本价!$C$2:$D$1000,2,0)*H2214</f>
        <v>4.77</v>
      </c>
      <c r="E2214">
        <v>10.6</v>
      </c>
      <c r="G2214">
        <f t="shared" si="41"/>
        <v>5.83</v>
      </c>
      <c r="H2214">
        <v>1</v>
      </c>
    </row>
    <row r="2215" spans="2:8">
      <c r="B2215" s="3">
        <v>45663</v>
      </c>
      <c r="C2215" t="s">
        <v>97</v>
      </c>
      <c r="D2215">
        <f>VLOOKUP(C2215,成本价!$C$2:$D$1000,2,0)*H2215</f>
        <v>4.5</v>
      </c>
      <c r="E2215">
        <v>8.59</v>
      </c>
      <c r="G2215">
        <f t="shared" si="41"/>
        <v>4.09</v>
      </c>
      <c r="H2215">
        <v>1</v>
      </c>
    </row>
    <row r="2216" spans="2:8">
      <c r="B2216" s="3">
        <v>45663</v>
      </c>
      <c r="C2216" t="s">
        <v>97</v>
      </c>
      <c r="D2216">
        <f>VLOOKUP(C2216,成本价!$C$2:$D$1000,2,0)*H2216</f>
        <v>4.5</v>
      </c>
      <c r="E2216">
        <v>9.8</v>
      </c>
      <c r="G2216">
        <f t="shared" ref="G2216:G2279" si="42">E2216-D2216</f>
        <v>5.3</v>
      </c>
      <c r="H2216">
        <v>1</v>
      </c>
    </row>
    <row r="2217" spans="2:8">
      <c r="B2217" s="3">
        <v>45663</v>
      </c>
      <c r="C2217" t="s">
        <v>94</v>
      </c>
      <c r="D2217">
        <f>VLOOKUP(C2217,成本价!$C$2:$D$1000,2,0)*H2217</f>
        <v>3.9</v>
      </c>
      <c r="E2217">
        <v>11.23</v>
      </c>
      <c r="G2217">
        <f t="shared" si="42"/>
        <v>7.33</v>
      </c>
      <c r="H2217">
        <v>1</v>
      </c>
    </row>
    <row r="2218" spans="2:8">
      <c r="B2218" s="3">
        <v>45663</v>
      </c>
      <c r="C2218" t="s">
        <v>65</v>
      </c>
      <c r="D2218">
        <f>VLOOKUP(C2218,成本价!$C$2:$D$1000,2,0)*H2218</f>
        <v>5.3</v>
      </c>
      <c r="E2218">
        <v>19.01</v>
      </c>
      <c r="G2218">
        <f t="shared" si="42"/>
        <v>13.71</v>
      </c>
      <c r="H2218">
        <v>1</v>
      </c>
    </row>
    <row r="2219" spans="2:8">
      <c r="B2219" s="3">
        <v>45663</v>
      </c>
      <c r="C2219" t="s">
        <v>58</v>
      </c>
      <c r="D2219">
        <f>VLOOKUP(C2219,成本价!$C$2:$D$1000,2,0)*H2219</f>
        <v>8.4</v>
      </c>
      <c r="E2219">
        <v>17.16</v>
      </c>
      <c r="G2219">
        <f t="shared" si="42"/>
        <v>8.76</v>
      </c>
      <c r="H2219">
        <v>1</v>
      </c>
    </row>
    <row r="2220" spans="2:8">
      <c r="B2220" s="3">
        <v>45663</v>
      </c>
      <c r="C2220" t="s">
        <v>55</v>
      </c>
      <c r="D2220">
        <f>VLOOKUP(C2220,成本价!$C$2:$D$1000,2,0)*H2220</f>
        <v>3.513</v>
      </c>
      <c r="E2220">
        <v>13.11</v>
      </c>
      <c r="G2220">
        <f t="shared" si="42"/>
        <v>9.597</v>
      </c>
      <c r="H2220">
        <v>3</v>
      </c>
    </row>
    <row r="2221" spans="2:8">
      <c r="B2221" s="3">
        <v>45663</v>
      </c>
      <c r="C2221" t="s">
        <v>36</v>
      </c>
      <c r="D2221">
        <f>VLOOKUP(C2221,成本价!$C$2:$D$1000,2,0)*H2221</f>
        <v>3.48</v>
      </c>
      <c r="E2221">
        <v>8.5</v>
      </c>
      <c r="G2221">
        <f t="shared" si="42"/>
        <v>5.02</v>
      </c>
      <c r="H2221">
        <v>1.5</v>
      </c>
    </row>
    <row r="2222" spans="2:8">
      <c r="B2222" s="3">
        <v>45663</v>
      </c>
      <c r="C2222" t="s">
        <v>61</v>
      </c>
      <c r="D2222">
        <f>VLOOKUP(C2222,成本价!$C$2:$D$1000,2,0)*H2222</f>
        <v>20.1</v>
      </c>
      <c r="E2222">
        <v>37.44</v>
      </c>
      <c r="G2222">
        <f t="shared" si="42"/>
        <v>17.34</v>
      </c>
      <c r="H2222">
        <v>1</v>
      </c>
    </row>
    <row r="2223" spans="2:8">
      <c r="B2223" s="3">
        <v>45663</v>
      </c>
      <c r="C2223" t="s">
        <v>59</v>
      </c>
      <c r="D2223">
        <f>VLOOKUP(C2223,成本价!$C$2:$D$1000,2,0)*H2223</f>
        <v>8.7</v>
      </c>
      <c r="E2223">
        <v>30.92</v>
      </c>
      <c r="G2223">
        <f t="shared" si="42"/>
        <v>22.22</v>
      </c>
      <c r="H2223">
        <v>1</v>
      </c>
    </row>
    <row r="2224" spans="2:8">
      <c r="B2224" s="3">
        <v>45663</v>
      </c>
      <c r="C2224" t="s">
        <v>90</v>
      </c>
      <c r="D2224">
        <f>VLOOKUP(C2224,成本价!$C$2:$D$1000,2,0)*H2224</f>
        <v>2.6</v>
      </c>
      <c r="G2224">
        <f t="shared" si="42"/>
        <v>-2.6</v>
      </c>
      <c r="H2224">
        <v>1</v>
      </c>
    </row>
    <row r="2225" spans="2:8">
      <c r="B2225" s="3">
        <v>45663</v>
      </c>
      <c r="C2225" t="s">
        <v>61</v>
      </c>
      <c r="D2225">
        <f>VLOOKUP(C2225,成本价!$C$2:$D$1000,2,0)*H2225</f>
        <v>20.1</v>
      </c>
      <c r="E2225">
        <v>37.44</v>
      </c>
      <c r="G2225">
        <f t="shared" si="42"/>
        <v>17.34</v>
      </c>
      <c r="H2225">
        <v>1</v>
      </c>
    </row>
    <row r="2226" spans="2:8">
      <c r="B2226" s="3">
        <v>45663</v>
      </c>
      <c r="C2226" t="s">
        <v>61</v>
      </c>
      <c r="D2226">
        <f>VLOOKUP(C2226,成本价!$C$2:$D$1000,2,0)*H2226</f>
        <v>20.1</v>
      </c>
      <c r="E2226">
        <v>37.44</v>
      </c>
      <c r="G2226">
        <f t="shared" si="42"/>
        <v>17.34</v>
      </c>
      <c r="H2226">
        <v>1</v>
      </c>
    </row>
    <row r="2227" spans="2:8">
      <c r="B2227" s="3">
        <v>45663</v>
      </c>
      <c r="C2227" t="s">
        <v>49</v>
      </c>
      <c r="D2227">
        <f>VLOOKUP(C2227,成本价!$C$2:$D$1000,2,0)*H2227</f>
        <v>1.975</v>
      </c>
      <c r="E2227">
        <v>9.2</v>
      </c>
      <c r="G2227">
        <f t="shared" si="42"/>
        <v>7.225</v>
      </c>
      <c r="H2227">
        <v>1</v>
      </c>
    </row>
    <row r="2228" spans="2:8">
      <c r="B2228" s="3">
        <v>45663</v>
      </c>
      <c r="C2228" t="s">
        <v>51</v>
      </c>
      <c r="D2228">
        <f>VLOOKUP(C2228,成本价!$C$2:$D$1000,2,0)*H2228</f>
        <v>9</v>
      </c>
      <c r="E2228">
        <v>17.16</v>
      </c>
      <c r="G2228">
        <f t="shared" si="42"/>
        <v>8.16</v>
      </c>
      <c r="H2228">
        <v>1</v>
      </c>
    </row>
    <row r="2229" spans="2:8">
      <c r="B2229" s="3">
        <v>45663</v>
      </c>
      <c r="C2229" t="s">
        <v>58</v>
      </c>
      <c r="D2229">
        <f>VLOOKUP(C2229,成本价!$C$2:$D$1000,2,0)*H2229</f>
        <v>8.4</v>
      </c>
      <c r="E2229">
        <v>17.16</v>
      </c>
      <c r="G2229">
        <f t="shared" si="42"/>
        <v>8.76</v>
      </c>
      <c r="H2229">
        <v>1</v>
      </c>
    </row>
    <row r="2230" spans="2:8">
      <c r="B2230" s="3">
        <v>45663</v>
      </c>
      <c r="C2230" t="s">
        <v>33</v>
      </c>
      <c r="D2230">
        <f>VLOOKUP(C2230,成本价!$C$2:$D$1000,2,0)*H2230</f>
        <v>2.55</v>
      </c>
      <c r="E2230">
        <v>6.9</v>
      </c>
      <c r="G2230">
        <f t="shared" si="42"/>
        <v>4.35</v>
      </c>
      <c r="H2230">
        <v>1.5</v>
      </c>
    </row>
    <row r="2231" spans="2:8">
      <c r="B2231" s="3">
        <v>45663</v>
      </c>
      <c r="C2231" t="s">
        <v>80</v>
      </c>
      <c r="D2231">
        <f>VLOOKUP(C2231,成本价!$C$2:$D$1000,2,0)*H2231</f>
        <v>8.1</v>
      </c>
      <c r="E2231">
        <v>17.16</v>
      </c>
      <c r="G2231">
        <f t="shared" si="42"/>
        <v>9.06</v>
      </c>
      <c r="H2231">
        <v>1</v>
      </c>
    </row>
    <row r="2232" spans="2:8">
      <c r="B2232" s="3">
        <v>45663</v>
      </c>
      <c r="C2232" t="s">
        <v>51</v>
      </c>
      <c r="D2232">
        <f>VLOOKUP(C2232,成本价!$C$2:$D$1000,2,0)*H2232</f>
        <v>9</v>
      </c>
      <c r="E2232">
        <v>17.24</v>
      </c>
      <c r="G2232">
        <f t="shared" si="42"/>
        <v>8.24</v>
      </c>
      <c r="H2232">
        <v>1</v>
      </c>
    </row>
    <row r="2233" spans="2:8">
      <c r="B2233" s="3">
        <v>45663</v>
      </c>
      <c r="C2233" t="s">
        <v>55</v>
      </c>
      <c r="D2233">
        <f>VLOOKUP(C2233,成本价!$C$2:$D$1000,2,0)*H2233</f>
        <v>1.171</v>
      </c>
      <c r="E2233">
        <v>8.01</v>
      </c>
      <c r="G2233">
        <f t="shared" si="42"/>
        <v>6.839</v>
      </c>
      <c r="H2233">
        <v>1</v>
      </c>
    </row>
    <row r="2234" spans="2:8">
      <c r="B2234" s="3">
        <v>45663</v>
      </c>
      <c r="C2234" t="s">
        <v>79</v>
      </c>
      <c r="D2234">
        <f>VLOOKUP(C2234,成本价!$C$2:$D$1000,2,0)*H2234</f>
        <v>12.3</v>
      </c>
      <c r="E2234">
        <v>42.58</v>
      </c>
      <c r="G2234">
        <f t="shared" si="42"/>
        <v>30.28</v>
      </c>
      <c r="H2234">
        <v>1</v>
      </c>
    </row>
    <row r="2235" spans="2:8">
      <c r="B2235" s="3">
        <v>45663</v>
      </c>
      <c r="C2235" t="s">
        <v>90</v>
      </c>
      <c r="D2235">
        <f>VLOOKUP(C2235,成本价!$C$2:$D$1000,2,0)*H2235</f>
        <v>2.6</v>
      </c>
      <c r="G2235">
        <f t="shared" si="42"/>
        <v>-2.6</v>
      </c>
      <c r="H2235">
        <v>1</v>
      </c>
    </row>
    <row r="2236" spans="2:8">
      <c r="B2236" s="3">
        <v>45663</v>
      </c>
      <c r="C2236" t="s">
        <v>61</v>
      </c>
      <c r="D2236">
        <f>VLOOKUP(C2236,成本价!$C$2:$D$1000,2,0)*H2236</f>
        <v>20.1</v>
      </c>
      <c r="E2236">
        <v>36.51</v>
      </c>
      <c r="G2236">
        <f t="shared" si="42"/>
        <v>16.41</v>
      </c>
      <c r="H2236">
        <v>1</v>
      </c>
    </row>
    <row r="2237" spans="2:10">
      <c r="B2237" s="3">
        <v>45663</v>
      </c>
      <c r="C2237" t="s">
        <v>105</v>
      </c>
      <c r="D2237">
        <f>VLOOKUP(C2237,成本价!$C$2:$D$1000,2,0)*H2237</f>
        <v>7.4</v>
      </c>
      <c r="E2237">
        <v>20.3</v>
      </c>
      <c r="G2237">
        <f t="shared" si="42"/>
        <v>12.9</v>
      </c>
      <c r="H2237">
        <v>1</v>
      </c>
      <c r="J2237" s="2" t="s">
        <v>74</v>
      </c>
    </row>
    <row r="2238" spans="9:9">
      <c r="I2238">
        <v>228.32</v>
      </c>
    </row>
    <row r="2239" spans="2:8">
      <c r="B2239" s="3">
        <v>45664</v>
      </c>
      <c r="C2239" t="s">
        <v>87</v>
      </c>
      <c r="D2239">
        <f>VLOOKUP(C2239,成本价!$C$2:$D$1000,2,0)*H2239</f>
        <v>7.14</v>
      </c>
      <c r="E2239">
        <f>13.78+13.78+7.98+6.81+13.78+7.98+6.81+13.78+6.81+7.98</f>
        <v>99.49</v>
      </c>
      <c r="F2239">
        <f>32*3.5</f>
        <v>112</v>
      </c>
      <c r="G2239">
        <f t="shared" si="42"/>
        <v>92.35</v>
      </c>
      <c r="H2239">
        <f>8+4+9+6+4+3+6+4+9+3</f>
        <v>56</v>
      </c>
    </row>
    <row r="2240" spans="2:8">
      <c r="B2240" s="3">
        <v>45664</v>
      </c>
      <c r="C2240" t="s">
        <v>88</v>
      </c>
      <c r="D2240">
        <f>VLOOKUP(C2240,成本价!$C$2:$D$1000,2,0)*H2240</f>
        <v>11.745</v>
      </c>
      <c r="G2240">
        <f t="shared" si="42"/>
        <v>-11.745</v>
      </c>
      <c r="H2240">
        <f>9+16+3+9+16+3+3+16+12</f>
        <v>87</v>
      </c>
    </row>
    <row r="2241" spans="2:8">
      <c r="B2241" s="3">
        <v>45664</v>
      </c>
      <c r="C2241" t="s">
        <v>109</v>
      </c>
      <c r="D2241">
        <f>VLOOKUP(C2241,成本价!$C$2:$D$1000,2,0)*H2241</f>
        <v>6.4575</v>
      </c>
      <c r="E2241">
        <f>10.9+6.81+10.9+6.81+6.81</f>
        <v>42.23</v>
      </c>
      <c r="G2241">
        <f t="shared" si="42"/>
        <v>35.7725</v>
      </c>
      <c r="H2241">
        <v>7</v>
      </c>
    </row>
    <row r="2242" spans="2:8">
      <c r="B2242" s="3">
        <v>45664</v>
      </c>
      <c r="C2242" t="s">
        <v>40</v>
      </c>
      <c r="D2242">
        <f>VLOOKUP(C2242,成本价!$C$2:$D$1000,2,0)*H2242</f>
        <v>1.88</v>
      </c>
      <c r="E2242">
        <v>7.72</v>
      </c>
      <c r="G2242">
        <f t="shared" si="42"/>
        <v>5.84</v>
      </c>
      <c r="H2242">
        <v>1</v>
      </c>
    </row>
    <row r="2243" spans="2:8">
      <c r="B2243" s="3">
        <v>45664</v>
      </c>
      <c r="C2243" t="s">
        <v>16</v>
      </c>
      <c r="D2243">
        <f>VLOOKUP(C2243,成本价!$C$2:$D$1000,2,0)*H2243</f>
        <v>10.8</v>
      </c>
      <c r="E2243">
        <v>17.24</v>
      </c>
      <c r="G2243">
        <f t="shared" si="42"/>
        <v>6.44</v>
      </c>
      <c r="H2243">
        <v>4</v>
      </c>
    </row>
    <row r="2244" spans="2:8">
      <c r="B2244" s="3">
        <v>45664</v>
      </c>
      <c r="C2244" t="s">
        <v>20</v>
      </c>
      <c r="D2244">
        <f>VLOOKUP(C2244,成本价!$C$2:$D$1000,2,0)*H2244</f>
        <v>6</v>
      </c>
      <c r="E2244">
        <v>17.24</v>
      </c>
      <c r="G2244">
        <f t="shared" si="42"/>
        <v>11.24</v>
      </c>
      <c r="H2244">
        <v>2</v>
      </c>
    </row>
    <row r="2245" spans="2:8">
      <c r="B2245" s="3">
        <v>45664</v>
      </c>
      <c r="C2245" t="s">
        <v>80</v>
      </c>
      <c r="D2245">
        <f>VLOOKUP(C2245,成本价!$C$2:$D$1000,2,0)*H2245</f>
        <v>8.1</v>
      </c>
      <c r="E2245">
        <v>17.16</v>
      </c>
      <c r="G2245">
        <f t="shared" si="42"/>
        <v>9.06</v>
      </c>
      <c r="H2245">
        <v>1</v>
      </c>
    </row>
    <row r="2246" spans="2:8">
      <c r="B2246" s="3">
        <v>45664</v>
      </c>
      <c r="C2246" t="s">
        <v>27</v>
      </c>
      <c r="D2246">
        <f>VLOOKUP(C2246,成本价!$C$2:$D$1000,2,0)*H2246</f>
        <v>1.8</v>
      </c>
      <c r="E2246">
        <v>7.54</v>
      </c>
      <c r="G2246">
        <f t="shared" si="42"/>
        <v>5.74</v>
      </c>
      <c r="H2246">
        <v>1</v>
      </c>
    </row>
    <row r="2247" spans="2:8">
      <c r="B2247" s="3">
        <v>45664</v>
      </c>
      <c r="C2247" t="s">
        <v>50</v>
      </c>
      <c r="D2247">
        <f>VLOOKUP(C2247,成本价!$C$2:$D$1000,2,0)*H2247</f>
        <v>2.749</v>
      </c>
      <c r="E2247">
        <v>11.38</v>
      </c>
      <c r="G2247">
        <f t="shared" si="42"/>
        <v>8.631</v>
      </c>
      <c r="H2247">
        <v>1</v>
      </c>
    </row>
    <row r="2248" spans="2:8">
      <c r="B2248" s="3">
        <v>45664</v>
      </c>
      <c r="C2248" t="s">
        <v>55</v>
      </c>
      <c r="D2248">
        <f>VLOOKUP(C2248,成本价!$C$2:$D$1000,2,0)*H2248</f>
        <v>3.513</v>
      </c>
      <c r="E2248">
        <v>13.11</v>
      </c>
      <c r="G2248">
        <f t="shared" si="42"/>
        <v>9.597</v>
      </c>
      <c r="H2248">
        <v>3</v>
      </c>
    </row>
    <row r="2249" spans="2:8">
      <c r="B2249" s="3">
        <v>45664</v>
      </c>
      <c r="C2249" t="s">
        <v>54</v>
      </c>
      <c r="D2249">
        <f>VLOOKUP(C2249,成本价!$C$2:$D$1000,2,0)*H2249</f>
        <v>14.7</v>
      </c>
      <c r="E2249">
        <v>25.51</v>
      </c>
      <c r="G2249">
        <f t="shared" si="42"/>
        <v>10.81</v>
      </c>
      <c r="H2249">
        <v>1</v>
      </c>
    </row>
    <row r="2250" spans="2:8">
      <c r="B2250" s="3">
        <v>45664</v>
      </c>
      <c r="C2250" t="s">
        <v>80</v>
      </c>
      <c r="D2250">
        <f>VLOOKUP(C2250,成本价!$C$2:$D$1000,2,0)*H2250</f>
        <v>8.1</v>
      </c>
      <c r="E2250">
        <v>17.16</v>
      </c>
      <c r="G2250">
        <f t="shared" si="42"/>
        <v>9.06</v>
      </c>
      <c r="H2250">
        <v>1</v>
      </c>
    </row>
    <row r="2251" spans="2:8">
      <c r="B2251" s="3">
        <v>45664</v>
      </c>
      <c r="C2251" t="s">
        <v>93</v>
      </c>
      <c r="D2251">
        <v>11.7</v>
      </c>
      <c r="E2251">
        <v>10.7</v>
      </c>
      <c r="G2251">
        <f t="shared" si="42"/>
        <v>-1</v>
      </c>
      <c r="H2251">
        <v>1</v>
      </c>
    </row>
    <row r="2252" spans="2:8">
      <c r="B2252" s="3">
        <v>45664</v>
      </c>
      <c r="C2252" t="s">
        <v>16</v>
      </c>
      <c r="D2252">
        <f>VLOOKUP(C2252,成本价!$C$2:$D$1000,2,0)*H2252</f>
        <v>8.1</v>
      </c>
      <c r="E2252">
        <v>27.33</v>
      </c>
      <c r="G2252">
        <f t="shared" si="42"/>
        <v>19.23</v>
      </c>
      <c r="H2252">
        <v>3</v>
      </c>
    </row>
    <row r="2253" spans="2:8">
      <c r="B2253" s="3">
        <v>45664</v>
      </c>
      <c r="C2253" t="s">
        <v>20</v>
      </c>
      <c r="D2253">
        <f>VLOOKUP(C2253,成本价!$C$2:$D$1000,2,0)*H2253</f>
        <v>6</v>
      </c>
      <c r="G2253">
        <f t="shared" si="42"/>
        <v>-6</v>
      </c>
      <c r="H2253">
        <v>2</v>
      </c>
    </row>
    <row r="2254" spans="2:8">
      <c r="B2254" s="3">
        <v>45664</v>
      </c>
      <c r="C2254" t="s">
        <v>33</v>
      </c>
      <c r="D2254">
        <f>VLOOKUP(C2254,成本价!$C$2:$D$1000,2,0)*H2254</f>
        <v>2.55</v>
      </c>
      <c r="E2254">
        <v>6.9</v>
      </c>
      <c r="G2254">
        <f t="shared" si="42"/>
        <v>4.35</v>
      </c>
      <c r="H2254">
        <v>1.5</v>
      </c>
    </row>
    <row r="2255" spans="2:8">
      <c r="B2255" s="3">
        <v>45664</v>
      </c>
      <c r="C2255" t="s">
        <v>93</v>
      </c>
      <c r="D2255">
        <v>11.7</v>
      </c>
      <c r="E2255">
        <v>10.7</v>
      </c>
      <c r="G2255">
        <f t="shared" si="42"/>
        <v>-1</v>
      </c>
      <c r="H2255">
        <v>1</v>
      </c>
    </row>
    <row r="2256" spans="2:8">
      <c r="B2256" s="3">
        <v>45664</v>
      </c>
      <c r="C2256" t="s">
        <v>61</v>
      </c>
      <c r="D2256">
        <f>VLOOKUP(C2256,成本价!$C$2:$D$1000,2,0)*H2256</f>
        <v>20.1</v>
      </c>
      <c r="E2256">
        <v>36.51</v>
      </c>
      <c r="G2256">
        <f t="shared" si="42"/>
        <v>16.41</v>
      </c>
      <c r="H2256">
        <v>1</v>
      </c>
    </row>
    <row r="2257" spans="2:8">
      <c r="B2257" s="3">
        <v>45664</v>
      </c>
      <c r="C2257" t="s">
        <v>94</v>
      </c>
      <c r="D2257">
        <f>VLOOKUP(C2257,成本价!$C$2:$D$1000,2,0)*H2257</f>
        <v>1.3</v>
      </c>
      <c r="E2257">
        <v>7.31</v>
      </c>
      <c r="G2257">
        <f t="shared" si="42"/>
        <v>6.01</v>
      </c>
      <c r="H2257">
        <f>1/3</f>
        <v>0.333333333333333</v>
      </c>
    </row>
    <row r="2258" spans="2:8">
      <c r="B2258" s="3">
        <v>45664</v>
      </c>
      <c r="C2258" t="s">
        <v>93</v>
      </c>
      <c r="D2258">
        <v>11.7</v>
      </c>
      <c r="E2258">
        <v>10.7</v>
      </c>
      <c r="G2258">
        <f t="shared" si="42"/>
        <v>-1</v>
      </c>
      <c r="H2258">
        <v>1</v>
      </c>
    </row>
    <row r="2259" spans="2:8">
      <c r="B2259" s="3">
        <v>45664</v>
      </c>
      <c r="C2259" t="s">
        <v>102</v>
      </c>
      <c r="D2259">
        <f>VLOOKUP(C2259,成本价!$C$2:$D$1000,2,0)*H2259</f>
        <v>7.5</v>
      </c>
      <c r="E2259">
        <v>16.06</v>
      </c>
      <c r="G2259">
        <f t="shared" si="42"/>
        <v>8.56</v>
      </c>
      <c r="H2259">
        <v>1</v>
      </c>
    </row>
    <row r="2260" spans="2:8">
      <c r="B2260" s="3">
        <v>45664</v>
      </c>
      <c r="C2260" t="s">
        <v>82</v>
      </c>
      <c r="D2260">
        <f>VLOOKUP(C2260,成本价!$C$2:$D$1000,2,0)*H2260</f>
        <v>13.2</v>
      </c>
      <c r="E2260">
        <v>28.91</v>
      </c>
      <c r="G2260">
        <f t="shared" si="42"/>
        <v>15.71</v>
      </c>
      <c r="H2260">
        <v>1</v>
      </c>
    </row>
    <row r="2261" spans="2:8">
      <c r="B2261" s="3">
        <v>45664</v>
      </c>
      <c r="C2261" t="s">
        <v>102</v>
      </c>
      <c r="D2261">
        <f>VLOOKUP(C2261,成本价!$C$2:$D$1000,2,0)*H2261</f>
        <v>7.5</v>
      </c>
      <c r="E2261">
        <v>20.32</v>
      </c>
      <c r="G2261">
        <f t="shared" si="42"/>
        <v>12.82</v>
      </c>
      <c r="H2261">
        <v>1</v>
      </c>
    </row>
    <row r="2262" spans="2:8">
      <c r="B2262" s="3">
        <v>45664</v>
      </c>
      <c r="C2262" t="s">
        <v>76</v>
      </c>
      <c r="D2262">
        <f>VLOOKUP(C2262,成本价!$C$2:$D$1000,2,0)*H2262</f>
        <v>1.7856</v>
      </c>
      <c r="E2262">
        <v>16.52</v>
      </c>
      <c r="G2262">
        <f t="shared" si="42"/>
        <v>14.7344</v>
      </c>
      <c r="H2262">
        <v>1</v>
      </c>
    </row>
    <row r="2263" spans="9:9">
      <c r="I2263">
        <v>163.9</v>
      </c>
    </row>
    <row r="2264" spans="2:8">
      <c r="B2264" s="3">
        <v>45665</v>
      </c>
      <c r="C2264" t="s">
        <v>87</v>
      </c>
      <c r="D2264">
        <f>VLOOKUP(C2264,成本价!$C$2:$D$1000,2,0)*H2264</f>
        <v>18.105</v>
      </c>
      <c r="E2264">
        <f>6.81+7.98+7.98+13.78+6.81+7.98+7.98+6.81+6.81+7.98+10.9+5.45+5.45+5.45+6.81+7.98+7.98+7.98+5.46+6.38+6.81</f>
        <v>157.57</v>
      </c>
      <c r="F2264">
        <f>36*3.5</f>
        <v>126</v>
      </c>
      <c r="G2264">
        <f t="shared" si="42"/>
        <v>139.465</v>
      </c>
      <c r="H2264">
        <f>3+9+4+9+9+6+9+9+9+9+9+9+9+9+9+3+9+9</f>
        <v>142</v>
      </c>
    </row>
    <row r="2265" spans="2:8">
      <c r="B2265" s="3">
        <v>45665</v>
      </c>
      <c r="C2265" t="s">
        <v>88</v>
      </c>
      <c r="D2265">
        <f>VLOOKUP(C2265,成本价!$C$2:$D$1000,2,0)*H2265</f>
        <v>13.095</v>
      </c>
      <c r="G2265">
        <f t="shared" si="42"/>
        <v>-13.095</v>
      </c>
      <c r="H2265">
        <f>3+3+9+9+3+3+9+3+9+6+3+16+3+9+9</f>
        <v>97</v>
      </c>
    </row>
    <row r="2266" spans="2:8">
      <c r="B2266" s="3">
        <v>45665</v>
      </c>
      <c r="C2266" t="s">
        <v>109</v>
      </c>
      <c r="D2266">
        <f>VLOOKUP(C2266,成本价!$C$2:$D$1000,2,0)*H2266</f>
        <v>2.7675</v>
      </c>
      <c r="E2266">
        <f>6.81+6.81+6.81</f>
        <v>20.43</v>
      </c>
      <c r="G2266">
        <f t="shared" si="42"/>
        <v>17.6625</v>
      </c>
      <c r="H2266">
        <v>3</v>
      </c>
    </row>
    <row r="2267" spans="2:8">
      <c r="B2267" s="3">
        <v>45665</v>
      </c>
      <c r="C2267" t="s">
        <v>12</v>
      </c>
      <c r="D2267">
        <f>VLOOKUP(C2267,成本价!$C$2:$D$1000,2,0)*H2267</f>
        <v>2.709</v>
      </c>
      <c r="E2267">
        <v>16.79</v>
      </c>
      <c r="G2267">
        <f t="shared" si="42"/>
        <v>14.081</v>
      </c>
      <c r="H2267">
        <v>7</v>
      </c>
    </row>
    <row r="2268" spans="2:8">
      <c r="B2268" s="3">
        <v>45665</v>
      </c>
      <c r="C2268" t="s">
        <v>44</v>
      </c>
      <c r="D2268">
        <f>VLOOKUP(C2268,成本价!$C$2:$D$1000,2,0)*H2268</f>
        <v>1.191</v>
      </c>
      <c r="G2268">
        <f t="shared" si="42"/>
        <v>-1.191</v>
      </c>
      <c r="H2268">
        <v>3</v>
      </c>
    </row>
    <row r="2269" spans="2:8">
      <c r="B2269" s="3">
        <v>45665</v>
      </c>
      <c r="C2269" t="s">
        <v>51</v>
      </c>
      <c r="D2269">
        <f>VLOOKUP(C2269,成本价!$C$2:$D$1000,2,0)*H2269</f>
        <v>9</v>
      </c>
      <c r="E2269">
        <v>17.16</v>
      </c>
      <c r="G2269">
        <f t="shared" si="42"/>
        <v>8.16</v>
      </c>
      <c r="H2269">
        <v>1</v>
      </c>
    </row>
    <row r="2270" spans="2:8">
      <c r="B2270" s="3">
        <v>45665</v>
      </c>
      <c r="C2270" t="s">
        <v>81</v>
      </c>
      <c r="D2270">
        <f>VLOOKUP(C2270,成本价!$C$2:$D$1000,2,0)*H2270</f>
        <v>5.64</v>
      </c>
      <c r="E2270">
        <v>19.24</v>
      </c>
      <c r="G2270">
        <f t="shared" si="42"/>
        <v>13.6</v>
      </c>
      <c r="H2270">
        <v>1</v>
      </c>
    </row>
    <row r="2271" spans="2:8">
      <c r="B2271" s="3">
        <v>45665</v>
      </c>
      <c r="C2271" t="s">
        <v>51</v>
      </c>
      <c r="D2271">
        <f>VLOOKUP(C2271,成本价!$C$2:$D$1000,2,0)*H2271</f>
        <v>9</v>
      </c>
      <c r="E2271">
        <v>17.16</v>
      </c>
      <c r="G2271">
        <f t="shared" si="42"/>
        <v>8.16</v>
      </c>
      <c r="H2271">
        <v>1</v>
      </c>
    </row>
    <row r="2272" spans="2:8">
      <c r="B2272" s="3">
        <v>45665</v>
      </c>
      <c r="C2272" t="s">
        <v>27</v>
      </c>
      <c r="D2272">
        <f>VLOOKUP(C2272,成本价!$C$2:$D$1000,2,0)*H2272</f>
        <v>2.7</v>
      </c>
      <c r="E2272">
        <v>5.83</v>
      </c>
      <c r="G2272">
        <f t="shared" si="42"/>
        <v>3.13</v>
      </c>
      <c r="H2272">
        <v>1.5</v>
      </c>
    </row>
    <row r="2273" spans="2:8">
      <c r="B2273" s="3">
        <v>45665</v>
      </c>
      <c r="C2273" t="s">
        <v>61</v>
      </c>
      <c r="D2273">
        <f>VLOOKUP(C2273,成本价!$C$2:$D$1000,2,0)*H2273</f>
        <v>20.1</v>
      </c>
      <c r="E2273">
        <v>36.51</v>
      </c>
      <c r="G2273">
        <f t="shared" si="42"/>
        <v>16.41</v>
      </c>
      <c r="H2273">
        <v>1</v>
      </c>
    </row>
    <row r="2274" spans="2:8">
      <c r="B2274" s="3">
        <v>45665</v>
      </c>
      <c r="C2274" t="s">
        <v>58</v>
      </c>
      <c r="D2274">
        <f>VLOOKUP(C2274,成本价!$C$2:$D$1000,2,0)*H2274</f>
        <v>8.4</v>
      </c>
      <c r="E2274">
        <v>17.16</v>
      </c>
      <c r="G2274">
        <f t="shared" si="42"/>
        <v>8.76</v>
      </c>
      <c r="H2274">
        <v>1</v>
      </c>
    </row>
    <row r="2275" spans="2:8">
      <c r="B2275" s="3">
        <v>45665</v>
      </c>
      <c r="C2275" t="s">
        <v>52</v>
      </c>
      <c r="D2275">
        <f>VLOOKUP(C2275,成本价!$C$2:$D$1000,2,0)*H2275</f>
        <v>10.96</v>
      </c>
      <c r="E2275">
        <v>32.93</v>
      </c>
      <c r="G2275">
        <f t="shared" si="42"/>
        <v>21.97</v>
      </c>
      <c r="H2275">
        <v>1</v>
      </c>
    </row>
    <row r="2276" spans="2:8">
      <c r="B2276" s="3">
        <v>45665</v>
      </c>
      <c r="C2276" t="s">
        <v>92</v>
      </c>
      <c r="D2276">
        <f>VLOOKUP(C2276,成本价!$C$2:$D$1000,2,0)*H2276</f>
        <v>3</v>
      </c>
      <c r="G2276">
        <f t="shared" si="42"/>
        <v>-3</v>
      </c>
      <c r="H2276">
        <v>1</v>
      </c>
    </row>
    <row r="2277" spans="2:8">
      <c r="B2277" s="3">
        <v>45665</v>
      </c>
      <c r="C2277" t="s">
        <v>57</v>
      </c>
      <c r="D2277">
        <f>VLOOKUP(C2277,成本价!$C$2:$D$1000,2,0)*H2277</f>
        <v>8.9</v>
      </c>
      <c r="E2277">
        <v>30.94</v>
      </c>
      <c r="G2277">
        <f t="shared" si="42"/>
        <v>22.04</v>
      </c>
      <c r="H2277">
        <v>1</v>
      </c>
    </row>
    <row r="2278" spans="2:8">
      <c r="B2278" s="3">
        <v>45665</v>
      </c>
      <c r="C2278" t="s">
        <v>90</v>
      </c>
      <c r="D2278">
        <f>VLOOKUP(C2278,成本价!$C$2:$D$1000,2,0)*H2278</f>
        <v>2.6</v>
      </c>
      <c r="G2278">
        <f t="shared" si="42"/>
        <v>-2.6</v>
      </c>
      <c r="H2278">
        <v>1</v>
      </c>
    </row>
    <row r="2279" spans="2:8">
      <c r="B2279" s="3">
        <v>45665</v>
      </c>
      <c r="C2279" t="s">
        <v>58</v>
      </c>
      <c r="D2279">
        <f>VLOOKUP(C2279,成本价!$C$2:$D$1000,2,0)*H2279</f>
        <v>8.4</v>
      </c>
      <c r="E2279">
        <v>17.16</v>
      </c>
      <c r="G2279">
        <f t="shared" si="42"/>
        <v>8.76</v>
      </c>
      <c r="H2279">
        <v>1</v>
      </c>
    </row>
    <row r="2280" spans="2:8">
      <c r="B2280" s="3">
        <v>45665</v>
      </c>
      <c r="C2280" t="s">
        <v>58</v>
      </c>
      <c r="D2280">
        <f>VLOOKUP(C2280,成本价!$C$2:$D$1000,2,0)*H2280</f>
        <v>8.4</v>
      </c>
      <c r="E2280">
        <v>17.24</v>
      </c>
      <c r="G2280">
        <f t="shared" ref="G2280:G2343" si="43">E2280-D2280</f>
        <v>8.84</v>
      </c>
      <c r="H2280">
        <v>1</v>
      </c>
    </row>
    <row r="2281" spans="2:8">
      <c r="B2281" s="3">
        <v>45665</v>
      </c>
      <c r="C2281" t="s">
        <v>16</v>
      </c>
      <c r="D2281">
        <f>VLOOKUP(C2281,成本价!$C$2:$D$1000,2,0)*H2281</f>
        <v>13.5</v>
      </c>
      <c r="E2281">
        <v>36.69</v>
      </c>
      <c r="G2281">
        <f t="shared" si="43"/>
        <v>23.19</v>
      </c>
      <c r="H2281">
        <v>5</v>
      </c>
    </row>
    <row r="2282" spans="2:8">
      <c r="B2282" s="3">
        <v>45665</v>
      </c>
      <c r="C2282" t="s">
        <v>20</v>
      </c>
      <c r="D2282">
        <f>VLOOKUP(C2282,成本价!$C$2:$D$1000,2,0)*H2282</f>
        <v>6</v>
      </c>
      <c r="G2282">
        <f t="shared" si="43"/>
        <v>-6</v>
      </c>
      <c r="H2282">
        <v>2</v>
      </c>
    </row>
    <row r="2283" spans="2:8">
      <c r="B2283" s="3">
        <v>45665</v>
      </c>
      <c r="C2283" t="s">
        <v>89</v>
      </c>
      <c r="D2283">
        <f>VLOOKUP(C2283,成本价!$C$2:$D$1000,2,0)*H2283</f>
        <v>5.92</v>
      </c>
      <c r="E2283">
        <v>19.24</v>
      </c>
      <c r="G2283">
        <f t="shared" si="43"/>
        <v>13.32</v>
      </c>
      <c r="H2283">
        <v>1</v>
      </c>
    </row>
    <row r="2284" spans="2:10">
      <c r="B2284" s="3">
        <v>45665</v>
      </c>
      <c r="C2284" t="s">
        <v>58</v>
      </c>
      <c r="D2284">
        <f>VLOOKUP(C2284,成本价!$C$2:$D$1000,2,0)*H2284</f>
        <v>16.8</v>
      </c>
      <c r="E2284">
        <v>40.16</v>
      </c>
      <c r="G2284">
        <f t="shared" si="43"/>
        <v>23.36</v>
      </c>
      <c r="H2284">
        <v>2</v>
      </c>
      <c r="J2284" s="2" t="s">
        <v>74</v>
      </c>
    </row>
    <row r="2285" spans="2:10">
      <c r="B2285" s="3">
        <v>45665</v>
      </c>
      <c r="C2285" t="s">
        <v>58</v>
      </c>
      <c r="D2285">
        <f>VLOOKUP(C2285,成本价!$C$2:$D$1000,2,0)*H2285</f>
        <v>8.4</v>
      </c>
      <c r="E2285">
        <v>21.33</v>
      </c>
      <c r="G2285">
        <f t="shared" si="43"/>
        <v>12.93</v>
      </c>
      <c r="H2285">
        <v>1</v>
      </c>
      <c r="J2285" s="2" t="s">
        <v>74</v>
      </c>
    </row>
    <row r="2286" spans="9:9">
      <c r="I2286">
        <v>201.6</v>
      </c>
    </row>
    <row r="2287" spans="2:8">
      <c r="B2287" s="3">
        <v>45666</v>
      </c>
      <c r="C2287" t="s">
        <v>87</v>
      </c>
      <c r="D2287">
        <f>VLOOKUP(C2287,成本价!$C$2:$D$1000,2,0)*H2287</f>
        <v>13.26</v>
      </c>
      <c r="E2287">
        <f>6.81+7.98+6.81+7.98+7.98+12.77+6.81+6.81+6.81+6.81+7.98+6.81+6.82+13.78+6.81+7.98+5.45+5.45+7.98</f>
        <v>146.63</v>
      </c>
      <c r="F2287">
        <f>43*3.5</f>
        <v>150.5</v>
      </c>
      <c r="G2287">
        <f t="shared" si="43"/>
        <v>133.37</v>
      </c>
      <c r="H2287">
        <f>3+9+9+8+9+3+9+9+6+6+15+6+9+3</f>
        <v>104</v>
      </c>
    </row>
    <row r="2288" spans="2:8">
      <c r="B2288" s="3">
        <v>45666</v>
      </c>
      <c r="C2288" t="s">
        <v>88</v>
      </c>
      <c r="D2288">
        <f>VLOOKUP(C2288,成本价!$C$2:$D$1000,2,0)*H2288</f>
        <v>13.365</v>
      </c>
      <c r="G2288">
        <f t="shared" si="43"/>
        <v>-13.365</v>
      </c>
      <c r="H2288">
        <f>9+9+9+3+3+5+3+3+3+9+6+4+3+3+9+9+9</f>
        <v>99</v>
      </c>
    </row>
    <row r="2289" spans="2:8">
      <c r="B2289" s="3">
        <v>45666</v>
      </c>
      <c r="C2289" t="s">
        <v>109</v>
      </c>
      <c r="D2289">
        <f>VLOOKUP(C2289,成本价!$C$2:$D$1000,2,0)*H2289</f>
        <v>7.38</v>
      </c>
      <c r="E2289">
        <f>6.81+6.81+6.81+6.81+6.81+6.81+6.81+6.81</f>
        <v>54.48</v>
      </c>
      <c r="G2289">
        <f t="shared" si="43"/>
        <v>47.1</v>
      </c>
      <c r="H2289">
        <v>8</v>
      </c>
    </row>
    <row r="2290" spans="2:8">
      <c r="B2290" s="3">
        <v>45666</v>
      </c>
      <c r="C2290" t="s">
        <v>58</v>
      </c>
      <c r="D2290">
        <f>VLOOKUP(C2290,成本价!$C$2:$D$1000,2,0)*H2290</f>
        <v>8.4</v>
      </c>
      <c r="E2290">
        <v>17.16</v>
      </c>
      <c r="G2290">
        <f t="shared" si="43"/>
        <v>8.76</v>
      </c>
      <c r="H2290">
        <v>1</v>
      </c>
    </row>
    <row r="2291" spans="2:8">
      <c r="B2291" s="3">
        <v>45666</v>
      </c>
      <c r="C2291" t="s">
        <v>61</v>
      </c>
      <c r="D2291">
        <f>VLOOKUP(C2291,成本价!$C$2:$D$1000,2,0)*H2291</f>
        <v>20.1</v>
      </c>
      <c r="E2291">
        <v>36.51</v>
      </c>
      <c r="G2291">
        <f t="shared" si="43"/>
        <v>16.41</v>
      </c>
      <c r="H2291">
        <v>1</v>
      </c>
    </row>
    <row r="2292" spans="2:8">
      <c r="B2292" s="3">
        <v>45666</v>
      </c>
      <c r="C2292" t="s">
        <v>58</v>
      </c>
      <c r="D2292">
        <f>VLOOKUP(C2292,成本价!$C$2:$D$1000,2,0)*H2292</f>
        <v>8.4</v>
      </c>
      <c r="E2292">
        <v>17.16</v>
      </c>
      <c r="G2292">
        <f t="shared" si="43"/>
        <v>8.76</v>
      </c>
      <c r="H2292">
        <v>1</v>
      </c>
    </row>
    <row r="2293" spans="2:8">
      <c r="B2293" s="3">
        <v>45666</v>
      </c>
      <c r="C2293" t="s">
        <v>89</v>
      </c>
      <c r="D2293">
        <f>VLOOKUP(C2293,成本价!$C$2:$D$1000,2,0)*H2293</f>
        <v>5.92</v>
      </c>
      <c r="E2293">
        <v>19.2</v>
      </c>
      <c r="G2293">
        <f t="shared" si="43"/>
        <v>13.28</v>
      </c>
      <c r="H2293">
        <v>1</v>
      </c>
    </row>
    <row r="2294" spans="2:8">
      <c r="B2294" s="3">
        <v>45666</v>
      </c>
      <c r="C2294" t="s">
        <v>63</v>
      </c>
      <c r="D2294">
        <f>VLOOKUP(C2294,成本价!$C$2:$D$1000,2,0)*H2294</f>
        <v>0.255</v>
      </c>
      <c r="E2294">
        <v>5.36</v>
      </c>
      <c r="G2294">
        <f t="shared" si="43"/>
        <v>5.105</v>
      </c>
      <c r="H2294">
        <f>1/60*3</f>
        <v>0.05</v>
      </c>
    </row>
    <row r="2295" spans="2:8">
      <c r="B2295" s="3">
        <v>45666</v>
      </c>
      <c r="C2295" t="s">
        <v>33</v>
      </c>
      <c r="D2295">
        <f>VLOOKUP(C2295,成本价!$C$2:$D$1000,2,0)*H2295</f>
        <v>2.55</v>
      </c>
      <c r="E2295">
        <v>5.82</v>
      </c>
      <c r="G2295">
        <f t="shared" si="43"/>
        <v>3.27</v>
      </c>
      <c r="H2295">
        <v>1.5</v>
      </c>
    </row>
    <row r="2296" spans="2:8">
      <c r="B2296" s="3">
        <v>45666</v>
      </c>
      <c r="C2296" t="s">
        <v>33</v>
      </c>
      <c r="D2296">
        <f>VLOOKUP(C2296,成本价!$C$2:$D$1000,2,0)*H2296</f>
        <v>1.7</v>
      </c>
      <c r="E2296">
        <v>7.54</v>
      </c>
      <c r="G2296">
        <f t="shared" si="43"/>
        <v>5.84</v>
      </c>
      <c r="H2296">
        <v>1</v>
      </c>
    </row>
    <row r="2297" spans="2:8">
      <c r="B2297" s="3">
        <v>45666</v>
      </c>
      <c r="C2297" t="s">
        <v>59</v>
      </c>
      <c r="D2297">
        <f>VLOOKUP(C2297,成本价!$C$2:$D$1000,2,0)*H2297</f>
        <v>8.7</v>
      </c>
      <c r="E2297">
        <v>30.92</v>
      </c>
      <c r="G2297">
        <f t="shared" si="43"/>
        <v>22.22</v>
      </c>
      <c r="H2297">
        <v>1</v>
      </c>
    </row>
    <row r="2298" spans="2:8">
      <c r="B2298" s="3">
        <v>45666</v>
      </c>
      <c r="C2298" t="s">
        <v>90</v>
      </c>
      <c r="D2298">
        <f>VLOOKUP(C2298,成本价!$C$2:$D$1000,2,0)*H2298</f>
        <v>2.6</v>
      </c>
      <c r="G2298">
        <f t="shared" si="43"/>
        <v>-2.6</v>
      </c>
      <c r="H2298">
        <v>1</v>
      </c>
    </row>
    <row r="2299" spans="2:8">
      <c r="B2299" s="3">
        <v>45666</v>
      </c>
      <c r="C2299" t="s">
        <v>27</v>
      </c>
      <c r="D2299">
        <f>VLOOKUP(C2299,成本价!$C$2:$D$1000,2,0)*H2299</f>
        <v>2.7</v>
      </c>
      <c r="E2299">
        <v>5.83</v>
      </c>
      <c r="G2299">
        <f t="shared" si="43"/>
        <v>3.13</v>
      </c>
      <c r="H2299">
        <v>1.5</v>
      </c>
    </row>
    <row r="2300" spans="2:8">
      <c r="B2300" s="3">
        <v>45666</v>
      </c>
      <c r="C2300" t="s">
        <v>58</v>
      </c>
      <c r="D2300">
        <f>VLOOKUP(C2300,成本价!$C$2:$D$1000,2,0)*H2300</f>
        <v>8.4</v>
      </c>
      <c r="E2300">
        <v>17.16</v>
      </c>
      <c r="G2300">
        <f t="shared" si="43"/>
        <v>8.76</v>
      </c>
      <c r="H2300">
        <v>1</v>
      </c>
    </row>
    <row r="2301" spans="2:8">
      <c r="B2301" s="3">
        <v>45666</v>
      </c>
      <c r="C2301" t="s">
        <v>50</v>
      </c>
      <c r="D2301">
        <f>VLOOKUP(C2301,成本价!$C$2:$D$1000,2,0)*H2301</f>
        <v>2.749</v>
      </c>
      <c r="E2301">
        <v>10.86</v>
      </c>
      <c r="G2301">
        <f t="shared" si="43"/>
        <v>8.111</v>
      </c>
      <c r="H2301">
        <v>1</v>
      </c>
    </row>
    <row r="2302" spans="2:8">
      <c r="B2302" s="3">
        <v>45666</v>
      </c>
      <c r="C2302" t="s">
        <v>16</v>
      </c>
      <c r="D2302">
        <f>VLOOKUP(C2302,成本价!$C$2:$D$1000,2,0)*H2302</f>
        <v>2.7</v>
      </c>
      <c r="E2302">
        <v>17.24</v>
      </c>
      <c r="G2302">
        <f t="shared" si="43"/>
        <v>14.54</v>
      </c>
      <c r="H2302">
        <v>1</v>
      </c>
    </row>
    <row r="2303" spans="2:8">
      <c r="B2303" s="3">
        <v>45666</v>
      </c>
      <c r="C2303" t="s">
        <v>51</v>
      </c>
      <c r="D2303">
        <f>VLOOKUP(C2303,成本价!$C$2:$D$1000,2,0)*H2303</f>
        <v>9</v>
      </c>
      <c r="E2303">
        <v>17.16</v>
      </c>
      <c r="G2303">
        <f t="shared" si="43"/>
        <v>8.16</v>
      </c>
      <c r="H2303">
        <v>1</v>
      </c>
    </row>
    <row r="2304" spans="2:8">
      <c r="B2304" s="3">
        <v>45666</v>
      </c>
      <c r="C2304" t="s">
        <v>20</v>
      </c>
      <c r="D2304">
        <f>VLOOKUP(C2304,成本价!$C$2:$D$1000,2,0)*H2304</f>
        <v>6</v>
      </c>
      <c r="G2304">
        <f t="shared" si="43"/>
        <v>-6</v>
      </c>
      <c r="H2304">
        <v>2</v>
      </c>
    </row>
    <row r="2305" spans="2:8">
      <c r="B2305" s="3">
        <v>45666</v>
      </c>
      <c r="C2305" t="s">
        <v>56</v>
      </c>
      <c r="D2305">
        <f>VLOOKUP(C2305,成本价!$C$2:$D$1000,2,0)*H2305</f>
        <v>3.483</v>
      </c>
      <c r="E2305">
        <v>13.52</v>
      </c>
      <c r="G2305">
        <f t="shared" si="43"/>
        <v>10.037</v>
      </c>
      <c r="H2305">
        <v>3</v>
      </c>
    </row>
    <row r="2306" spans="2:8">
      <c r="B2306" s="3">
        <v>45666</v>
      </c>
      <c r="C2306" t="s">
        <v>50</v>
      </c>
      <c r="D2306">
        <f>VLOOKUP(C2306,成本价!$C$2:$D$1000,2,0)*H2306</f>
        <v>2.749</v>
      </c>
      <c r="E2306">
        <v>10.59</v>
      </c>
      <c r="G2306">
        <f t="shared" si="43"/>
        <v>7.841</v>
      </c>
      <c r="H2306">
        <v>1</v>
      </c>
    </row>
    <row r="2307" spans="2:8">
      <c r="B2307" s="3">
        <v>45666</v>
      </c>
      <c r="C2307" t="s">
        <v>61</v>
      </c>
      <c r="D2307">
        <f>VLOOKUP(C2307,成本价!$C$2:$D$1000,2,0)*H2307</f>
        <v>20.1</v>
      </c>
      <c r="E2307">
        <v>36.51</v>
      </c>
      <c r="G2307">
        <f t="shared" si="43"/>
        <v>16.41</v>
      </c>
      <c r="H2307">
        <v>1</v>
      </c>
    </row>
    <row r="2308" spans="2:10">
      <c r="B2308" s="3">
        <v>45666</v>
      </c>
      <c r="C2308" t="s">
        <v>75</v>
      </c>
      <c r="D2308">
        <f>VLOOKUP(C2308,成本价!$C$2:$D$1000,2,0)*H2308</f>
        <v>15.12</v>
      </c>
      <c r="E2308">
        <v>47.08</v>
      </c>
      <c r="G2308">
        <f t="shared" si="43"/>
        <v>31.96</v>
      </c>
      <c r="H2308">
        <v>1</v>
      </c>
      <c r="J2308" s="2" t="s">
        <v>74</v>
      </c>
    </row>
    <row r="2309" spans="2:10">
      <c r="B2309" s="3">
        <v>45666</v>
      </c>
      <c r="C2309" t="s">
        <v>92</v>
      </c>
      <c r="D2309">
        <f>VLOOKUP(C2309,成本价!$C$2:$D$1000,2,0)*H2309</f>
        <v>3</v>
      </c>
      <c r="G2309">
        <f t="shared" si="43"/>
        <v>-3</v>
      </c>
      <c r="H2309">
        <v>1</v>
      </c>
      <c r="J2309" s="2" t="s">
        <v>74</v>
      </c>
    </row>
    <row r="2310" spans="2:10">
      <c r="B2310" s="3">
        <v>45666</v>
      </c>
      <c r="C2310" t="s">
        <v>33</v>
      </c>
      <c r="D2310">
        <f>VLOOKUP(C2310,成本价!$C$2:$D$1000,2,0)*H2310</f>
        <v>1.7</v>
      </c>
      <c r="E2310">
        <v>5.84</v>
      </c>
      <c r="G2310">
        <f t="shared" si="43"/>
        <v>4.14</v>
      </c>
      <c r="H2310">
        <v>1</v>
      </c>
      <c r="J2310" s="2" t="s">
        <v>74</v>
      </c>
    </row>
    <row r="2311" spans="2:10">
      <c r="B2311" s="3">
        <v>45666</v>
      </c>
      <c r="C2311" t="s">
        <v>94</v>
      </c>
      <c r="D2311">
        <f>VLOOKUP(C2311,成本价!$C$2:$D$1000,2,0)*H2311</f>
        <v>3.9</v>
      </c>
      <c r="E2311">
        <v>9.65</v>
      </c>
      <c r="G2311">
        <f t="shared" si="43"/>
        <v>5.75</v>
      </c>
      <c r="H2311">
        <v>1</v>
      </c>
      <c r="J2311" s="2" t="s">
        <v>74</v>
      </c>
    </row>
    <row r="2312" spans="9:9">
      <c r="I2312">
        <v>163.58</v>
      </c>
    </row>
    <row r="2313" spans="2:8">
      <c r="B2313" s="3">
        <v>45667</v>
      </c>
      <c r="C2313" t="s">
        <v>87</v>
      </c>
      <c r="D2313">
        <f>VLOOKUP(C2313,成本价!$C$2:$D$1000,2,0)*H2313</f>
        <v>8.0325</v>
      </c>
      <c r="E2313">
        <f>13.78+7.98+7.98+6.81+13.78+6.81+5.45+5.45+6.81+6.81</f>
        <v>81.66</v>
      </c>
      <c r="F2313">
        <f>20*3.5</f>
        <v>70</v>
      </c>
      <c r="G2313">
        <f t="shared" si="43"/>
        <v>73.6275</v>
      </c>
      <c r="H2313">
        <f>15+9+9+3+4+6+9+2+6</f>
        <v>63</v>
      </c>
    </row>
    <row r="2314" spans="2:8">
      <c r="B2314" s="3">
        <v>45667</v>
      </c>
      <c r="C2314" t="s">
        <v>88</v>
      </c>
      <c r="D2314">
        <f>VLOOKUP(C2314,成本价!$C$2:$D$1000,2,0)*H2314</f>
        <v>7.425</v>
      </c>
      <c r="G2314">
        <f t="shared" si="43"/>
        <v>-7.425</v>
      </c>
      <c r="H2314">
        <f>3+7+9+3+16+6+3+3+5</f>
        <v>55</v>
      </c>
    </row>
    <row r="2315" spans="2:8">
      <c r="B2315" s="3">
        <v>45667</v>
      </c>
      <c r="C2315" t="s">
        <v>109</v>
      </c>
      <c r="D2315">
        <f>VLOOKUP(C2315,成本价!$C$2:$D$1000,2,0)*H2315</f>
        <v>3.69</v>
      </c>
      <c r="E2315">
        <f>6.81+6.81+6.81+6.81</f>
        <v>27.24</v>
      </c>
      <c r="G2315">
        <f t="shared" si="43"/>
        <v>23.55</v>
      </c>
      <c r="H2315">
        <v>4</v>
      </c>
    </row>
    <row r="2316" spans="2:8">
      <c r="B2316" s="3">
        <v>45667</v>
      </c>
      <c r="C2316" t="s">
        <v>61</v>
      </c>
      <c r="D2316">
        <f>VLOOKUP(C2316,成本价!$C$2:$D$1000,2,0)*H2316</f>
        <v>20.1</v>
      </c>
      <c r="E2316">
        <v>36.51</v>
      </c>
      <c r="G2316">
        <f t="shared" si="43"/>
        <v>16.41</v>
      </c>
      <c r="H2316">
        <v>1</v>
      </c>
    </row>
    <row r="2317" spans="2:8">
      <c r="B2317" s="3">
        <v>45667</v>
      </c>
      <c r="C2317" t="s">
        <v>36</v>
      </c>
      <c r="D2317">
        <f>VLOOKUP(C2317,成本价!$C$2:$D$1000,2,0)*H2317</f>
        <v>3.48</v>
      </c>
      <c r="E2317">
        <v>6.9</v>
      </c>
      <c r="G2317">
        <f t="shared" si="43"/>
        <v>3.42</v>
      </c>
      <c r="H2317">
        <v>1.5</v>
      </c>
    </row>
    <row r="2318" spans="2:8">
      <c r="B2318" s="3">
        <v>45667</v>
      </c>
      <c r="C2318" t="s">
        <v>57</v>
      </c>
      <c r="D2318">
        <f>VLOOKUP(C2318,成本价!$C$2:$D$1000,2,0)*H2318</f>
        <v>8.9</v>
      </c>
      <c r="E2318">
        <v>30.95</v>
      </c>
      <c r="G2318">
        <f t="shared" si="43"/>
        <v>22.05</v>
      </c>
      <c r="H2318">
        <v>1</v>
      </c>
    </row>
    <row r="2319" spans="2:8">
      <c r="B2319" s="3">
        <v>45667</v>
      </c>
      <c r="C2319" t="s">
        <v>90</v>
      </c>
      <c r="D2319">
        <f>VLOOKUP(C2319,成本价!$C$2:$D$1000,2,0)*H2319</f>
        <v>2.6</v>
      </c>
      <c r="G2319">
        <f t="shared" si="43"/>
        <v>-2.6</v>
      </c>
      <c r="H2319">
        <v>1</v>
      </c>
    </row>
    <row r="2320" spans="2:8">
      <c r="B2320" s="3">
        <v>45667</v>
      </c>
      <c r="C2320" t="s">
        <v>80</v>
      </c>
      <c r="D2320">
        <f>VLOOKUP(C2320,成本价!$C$2:$D$1000,2,0)*H2320</f>
        <v>8.1</v>
      </c>
      <c r="E2320">
        <v>17.16</v>
      </c>
      <c r="G2320">
        <f t="shared" si="43"/>
        <v>9.06</v>
      </c>
      <c r="H2320">
        <v>1</v>
      </c>
    </row>
    <row r="2321" spans="2:8">
      <c r="B2321" s="3">
        <v>45667</v>
      </c>
      <c r="C2321" t="s">
        <v>80</v>
      </c>
      <c r="D2321">
        <f>VLOOKUP(C2321,成本价!$C$2:$D$1000,2,0)*H2321</f>
        <v>8.1</v>
      </c>
      <c r="E2321">
        <v>17.16</v>
      </c>
      <c r="G2321">
        <f t="shared" si="43"/>
        <v>9.06</v>
      </c>
      <c r="H2321">
        <v>1</v>
      </c>
    </row>
    <row r="2322" spans="2:8">
      <c r="B2322" s="3">
        <v>45667</v>
      </c>
      <c r="C2322" t="s">
        <v>58</v>
      </c>
      <c r="D2322">
        <f>VLOOKUP(C2322,成本价!$C$2:$D$1000,2,0)*H2322</f>
        <v>8.4</v>
      </c>
      <c r="E2322">
        <v>17.16</v>
      </c>
      <c r="G2322">
        <f t="shared" si="43"/>
        <v>8.76</v>
      </c>
      <c r="H2322">
        <v>1</v>
      </c>
    </row>
    <row r="2323" spans="2:8">
      <c r="B2323" s="3">
        <v>45667</v>
      </c>
      <c r="C2323" t="s">
        <v>59</v>
      </c>
      <c r="D2323">
        <f>VLOOKUP(C2323,成本价!$C$2:$D$1000,2,0)*H2323</f>
        <v>8.7</v>
      </c>
      <c r="E2323">
        <v>30.92</v>
      </c>
      <c r="G2323">
        <f t="shared" si="43"/>
        <v>22.22</v>
      </c>
      <c r="H2323">
        <v>1</v>
      </c>
    </row>
    <row r="2324" spans="2:8">
      <c r="B2324" s="3">
        <v>45667</v>
      </c>
      <c r="C2324" t="s">
        <v>90</v>
      </c>
      <c r="D2324">
        <f>VLOOKUP(C2324,成本价!$C$2:$D$1000,2,0)*H2324</f>
        <v>2.6</v>
      </c>
      <c r="G2324">
        <f t="shared" si="43"/>
        <v>-2.6</v>
      </c>
      <c r="H2324">
        <v>1</v>
      </c>
    </row>
    <row r="2325" spans="9:9">
      <c r="I2325">
        <v>88.26</v>
      </c>
    </row>
    <row r="2326" spans="2:8">
      <c r="B2326" s="3">
        <v>45668</v>
      </c>
      <c r="C2326" t="s">
        <v>87</v>
      </c>
      <c r="D2326">
        <f>VLOOKUP(C2326,成本价!$C$2:$D$1000,2,0)*H2326</f>
        <v>29.58</v>
      </c>
      <c r="E2326">
        <f>31.92+13.78+6.81+13.78+13.78+6.81+13.78+13.78+7.98+13.78+5.45+5.45+5.45+12.77+16.35+6.81+6.81+13.44+7.98+7.98+7.98+6.81+6.81+7.98+7.98</f>
        <v>262.25</v>
      </c>
      <c r="F2326">
        <f>45*3.5</f>
        <v>157.5</v>
      </c>
      <c r="G2326">
        <f t="shared" si="43"/>
        <v>232.67</v>
      </c>
      <c r="H2326">
        <f>45+15+3+4+8+4+10+9+15+9+18+18+3+9+20+3+3+3+6+9+9+9</f>
        <v>232</v>
      </c>
    </row>
    <row r="2327" spans="2:8">
      <c r="B2327" s="3">
        <v>45668</v>
      </c>
      <c r="C2327" t="s">
        <v>88</v>
      </c>
      <c r="D2327">
        <f>VLOOKUP(C2327,成本价!$C$2:$D$1000,2,0)*H2327</f>
        <v>22.41</v>
      </c>
      <c r="G2327">
        <f t="shared" si="43"/>
        <v>-22.41</v>
      </c>
      <c r="H2327">
        <f>3+3+3+9+9+9+6+3+3+3+9+9+5+3+10+16+9+12+16+6+5+15</f>
        <v>166</v>
      </c>
    </row>
    <row r="2328" spans="2:8">
      <c r="B2328" s="3">
        <v>45668</v>
      </c>
      <c r="C2328" t="s">
        <v>109</v>
      </c>
      <c r="D2328">
        <f>VLOOKUP(C2328,成本价!$C$2:$D$1000,2,0)*H2328</f>
        <v>7.38</v>
      </c>
      <c r="E2328">
        <f>6.81+6.81+6.81+6.81+6.81+6.81+6.81+6.81</f>
        <v>54.48</v>
      </c>
      <c r="G2328">
        <f t="shared" si="43"/>
        <v>47.1</v>
      </c>
      <c r="H2328">
        <v>8</v>
      </c>
    </row>
    <row r="2329" spans="2:8">
      <c r="B2329" s="3">
        <v>45668</v>
      </c>
      <c r="C2329" t="s">
        <v>16</v>
      </c>
      <c r="D2329">
        <f>VLOOKUP(C2329,成本价!$C$2:$D$1000,2,0)*H2329</f>
        <v>8.1</v>
      </c>
      <c r="E2329">
        <v>17.24</v>
      </c>
      <c r="G2329">
        <f t="shared" si="43"/>
        <v>9.14</v>
      </c>
      <c r="H2329">
        <v>3</v>
      </c>
    </row>
    <row r="2330" spans="2:8">
      <c r="B2330" s="3">
        <v>45668</v>
      </c>
      <c r="C2330" t="s">
        <v>49</v>
      </c>
      <c r="D2330">
        <f>VLOOKUP(C2330,成本价!$C$2:$D$1000,2,0)*H2330</f>
        <v>3.95</v>
      </c>
      <c r="E2330">
        <v>18.76</v>
      </c>
      <c r="G2330">
        <f t="shared" si="43"/>
        <v>14.81</v>
      </c>
      <c r="H2330">
        <v>2</v>
      </c>
    </row>
    <row r="2331" spans="2:8">
      <c r="B2331" s="3">
        <v>45668</v>
      </c>
      <c r="C2331" t="s">
        <v>33</v>
      </c>
      <c r="D2331">
        <f>VLOOKUP(C2331,成本价!$C$2:$D$1000,2,0)*H2331</f>
        <v>5.1</v>
      </c>
      <c r="E2331">
        <v>30.95</v>
      </c>
      <c r="G2331">
        <f t="shared" si="43"/>
        <v>25.85</v>
      </c>
      <c r="H2331">
        <v>3</v>
      </c>
    </row>
    <row r="2332" spans="2:8">
      <c r="B2332" s="3">
        <v>45668</v>
      </c>
      <c r="C2332" t="s">
        <v>27</v>
      </c>
      <c r="D2332">
        <f>VLOOKUP(C2332,成本价!$C$2:$D$1000,2,0)*H2332</f>
        <v>3.6</v>
      </c>
      <c r="G2332">
        <f t="shared" si="43"/>
        <v>-3.6</v>
      </c>
      <c r="H2332">
        <v>2</v>
      </c>
    </row>
    <row r="2333" spans="2:8">
      <c r="B2333" s="3">
        <v>45668</v>
      </c>
      <c r="C2333" t="s">
        <v>90</v>
      </c>
      <c r="D2333">
        <f>VLOOKUP(C2333,成本价!$C$2:$D$1000,2,0)*H2333</f>
        <v>2.6</v>
      </c>
      <c r="G2333">
        <f t="shared" si="43"/>
        <v>-2.6</v>
      </c>
      <c r="H2333">
        <v>1</v>
      </c>
    </row>
    <row r="2334" spans="2:8">
      <c r="B2334" s="3">
        <v>45668</v>
      </c>
      <c r="C2334" t="s">
        <v>77</v>
      </c>
      <c r="D2334">
        <f>VLOOKUP(C2334,成本价!$C$2:$D$1000,2,0)*H2334</f>
        <v>0.4032</v>
      </c>
      <c r="E2334">
        <v>7.74</v>
      </c>
      <c r="G2334">
        <f t="shared" si="43"/>
        <v>7.3368</v>
      </c>
      <c r="H2334">
        <v>1</v>
      </c>
    </row>
    <row r="2335" spans="2:8">
      <c r="B2335" s="3">
        <v>45668</v>
      </c>
      <c r="C2335" t="s">
        <v>56</v>
      </c>
      <c r="D2335">
        <f>VLOOKUP(C2335,成本价!$C$2:$D$1000,2,0)*H2335</f>
        <v>1.161</v>
      </c>
      <c r="E2335">
        <v>7.98</v>
      </c>
      <c r="G2335">
        <f t="shared" si="43"/>
        <v>6.819</v>
      </c>
      <c r="H2335">
        <v>1</v>
      </c>
    </row>
    <row r="2336" spans="2:8">
      <c r="B2336" s="3">
        <v>45668</v>
      </c>
      <c r="C2336" t="s">
        <v>60</v>
      </c>
      <c r="D2336">
        <f>VLOOKUP(C2336,成本价!$C$2:$D$1000,2,0)*H2336</f>
        <v>5.2</v>
      </c>
      <c r="E2336">
        <v>18.92</v>
      </c>
      <c r="G2336">
        <f t="shared" si="43"/>
        <v>13.72</v>
      </c>
      <c r="H2336">
        <v>1</v>
      </c>
    </row>
    <row r="2337" spans="2:8">
      <c r="B2337" s="3">
        <v>45668</v>
      </c>
      <c r="C2337" t="s">
        <v>16</v>
      </c>
      <c r="D2337">
        <f>VLOOKUP(C2337,成本价!$C$2:$D$1000,2,0)*H2337</f>
        <v>8.1</v>
      </c>
      <c r="E2337">
        <v>16.58</v>
      </c>
      <c r="G2337">
        <f t="shared" si="43"/>
        <v>8.48</v>
      </c>
      <c r="H2337">
        <v>3</v>
      </c>
    </row>
    <row r="2338" spans="2:8">
      <c r="B2338" s="3">
        <v>45668</v>
      </c>
      <c r="C2338" t="s">
        <v>58</v>
      </c>
      <c r="D2338">
        <f>VLOOKUP(C2338,成本价!$C$2:$D$1000,2,0)*H2338</f>
        <v>8.4</v>
      </c>
      <c r="E2338">
        <v>17.16</v>
      </c>
      <c r="G2338">
        <f t="shared" si="43"/>
        <v>8.76</v>
      </c>
      <c r="H2338">
        <v>1</v>
      </c>
    </row>
    <row r="2339" spans="2:8">
      <c r="B2339" s="3">
        <v>45668</v>
      </c>
      <c r="C2339" t="s">
        <v>66</v>
      </c>
      <c r="D2339">
        <f>VLOOKUP(C2339,成本价!$C$2:$D$1000,2,0)*H2339</f>
        <v>12.48</v>
      </c>
      <c r="E2339">
        <v>38.04</v>
      </c>
      <c r="G2339">
        <f t="shared" si="43"/>
        <v>25.56</v>
      </c>
      <c r="H2339">
        <v>2</v>
      </c>
    </row>
    <row r="2340" spans="2:8">
      <c r="B2340" s="3">
        <v>45668</v>
      </c>
      <c r="C2340" t="s">
        <v>92</v>
      </c>
      <c r="D2340">
        <f>VLOOKUP(C2340,成本价!$C$2:$D$1000,2,0)*H2340</f>
        <v>3</v>
      </c>
      <c r="G2340">
        <f t="shared" si="43"/>
        <v>-3</v>
      </c>
      <c r="H2340">
        <v>1</v>
      </c>
    </row>
    <row r="2341" spans="2:8">
      <c r="B2341" s="3">
        <v>45668</v>
      </c>
      <c r="C2341" t="s">
        <v>61</v>
      </c>
      <c r="D2341">
        <f>VLOOKUP(C2341,成本价!$C$2:$D$1000,2,0)*H2341</f>
        <v>20.1</v>
      </c>
      <c r="E2341">
        <v>36.51</v>
      </c>
      <c r="G2341">
        <f t="shared" si="43"/>
        <v>16.41</v>
      </c>
      <c r="H2341">
        <v>1</v>
      </c>
    </row>
    <row r="2342" spans="2:8">
      <c r="B2342" s="3">
        <v>45668</v>
      </c>
      <c r="C2342" t="s">
        <v>58</v>
      </c>
      <c r="D2342">
        <f>VLOOKUP(C2342,成本价!$C$2:$D$1000,2,0)*H2342</f>
        <v>8.4</v>
      </c>
      <c r="E2342">
        <v>17.24</v>
      </c>
      <c r="G2342">
        <f t="shared" si="43"/>
        <v>8.84</v>
      </c>
      <c r="H2342">
        <v>1</v>
      </c>
    </row>
    <row r="2343" spans="2:8">
      <c r="B2343" s="3">
        <v>45668</v>
      </c>
      <c r="C2343" t="s">
        <v>40</v>
      </c>
      <c r="D2343">
        <f>VLOOKUP(C2343,成本价!$C$2:$D$1000,2,0)*H2343</f>
        <v>2.82</v>
      </c>
      <c r="E2343">
        <v>6.9</v>
      </c>
      <c r="G2343">
        <f t="shared" si="43"/>
        <v>4.08</v>
      </c>
      <c r="H2343">
        <v>1.5</v>
      </c>
    </row>
    <row r="2344" spans="2:8">
      <c r="B2344" s="3">
        <v>45668</v>
      </c>
      <c r="C2344" t="s">
        <v>58</v>
      </c>
      <c r="D2344">
        <f>VLOOKUP(C2344,成本价!$C$2:$D$1000,2,0)*H2344</f>
        <v>8.4</v>
      </c>
      <c r="E2344">
        <v>17.16</v>
      </c>
      <c r="G2344">
        <f t="shared" ref="G2344:G2407" si="44">E2344-D2344</f>
        <v>8.76</v>
      </c>
      <c r="H2344">
        <v>1</v>
      </c>
    </row>
    <row r="2345" spans="2:8">
      <c r="B2345" s="3">
        <v>45668</v>
      </c>
      <c r="C2345" t="s">
        <v>58</v>
      </c>
      <c r="D2345">
        <f>VLOOKUP(C2345,成本价!$C$2:$D$1000,2,0)*H2345</f>
        <v>8.4</v>
      </c>
      <c r="E2345">
        <v>17.16</v>
      </c>
      <c r="G2345">
        <f t="shared" si="44"/>
        <v>8.76</v>
      </c>
      <c r="H2345">
        <v>1</v>
      </c>
    </row>
    <row r="2346" spans="2:8">
      <c r="B2346" s="3">
        <v>45668</v>
      </c>
      <c r="C2346" t="s">
        <v>54</v>
      </c>
      <c r="D2346">
        <f>VLOOKUP(C2346,成本价!$C$2:$D$1000,2,0)*H2346</f>
        <v>14.7</v>
      </c>
      <c r="E2346">
        <v>25.51</v>
      </c>
      <c r="G2346">
        <f t="shared" si="44"/>
        <v>10.81</v>
      </c>
      <c r="H2346">
        <v>1</v>
      </c>
    </row>
    <row r="2347" spans="2:8">
      <c r="B2347" s="3">
        <v>45668</v>
      </c>
      <c r="C2347" t="s">
        <v>59</v>
      </c>
      <c r="D2347">
        <f>VLOOKUP(C2347,成本价!$C$2:$D$1000,2,0)*H2347</f>
        <v>8.7</v>
      </c>
      <c r="E2347">
        <v>30.82</v>
      </c>
      <c r="G2347">
        <f t="shared" si="44"/>
        <v>22.12</v>
      </c>
      <c r="H2347">
        <v>1</v>
      </c>
    </row>
    <row r="2348" spans="2:8">
      <c r="B2348" s="3">
        <v>45668</v>
      </c>
      <c r="C2348" t="s">
        <v>90</v>
      </c>
      <c r="D2348">
        <f>VLOOKUP(C2348,成本价!$C$2:$D$1000,2,0)*H2348</f>
        <v>2.6</v>
      </c>
      <c r="G2348">
        <f t="shared" si="44"/>
        <v>-2.6</v>
      </c>
      <c r="H2348">
        <v>1</v>
      </c>
    </row>
    <row r="2349" spans="9:9">
      <c r="I2349">
        <v>178.3</v>
      </c>
    </row>
    <row r="2350" spans="2:8">
      <c r="B2350" s="3">
        <v>45669</v>
      </c>
      <c r="C2350" t="s">
        <v>87</v>
      </c>
      <c r="D2350">
        <f>VLOOKUP(C2350,成本价!$C$2:$D$1000,2,0)*H2350</f>
        <v>22.95</v>
      </c>
      <c r="E2350">
        <f>7.98+7.98+7.98+7.98+6.81+6.81+7.98+7.98+7.98+12.77+7.98+13.78+13.78+7.98+7.98+7.98+6.81+13.78+6.81+10.9+10.89+10.9+7.98+13.78+13.78+6.81+10.9+6.81+7.98+6.81+6.81</f>
        <v>283.48</v>
      </c>
      <c r="F2350">
        <f>48*3.5</f>
        <v>168</v>
      </c>
      <c r="G2350">
        <f t="shared" si="44"/>
        <v>260.53</v>
      </c>
      <c r="H2350">
        <f>3+6+3+9+6+9+9+6+3+2+8+6+9+9+6+9+9+9+3+4+4+6+6+9+9+9+9</f>
        <v>180</v>
      </c>
    </row>
    <row r="2351" spans="2:8">
      <c r="B2351" s="3">
        <v>45669</v>
      </c>
      <c r="C2351" t="s">
        <v>88</v>
      </c>
      <c r="D2351">
        <f>VLOOKUP(C2351,成本价!$C$2:$D$1000,2,0)*H2351</f>
        <v>32.94</v>
      </c>
      <c r="G2351">
        <f t="shared" si="44"/>
        <v>-32.94</v>
      </c>
      <c r="H2351">
        <f>3+3+3+9+16+16+9+9+9+9+9+9+11+3+3+3+6+12+18+9+9+9+12+3+3+3+9+3+9+6+9</f>
        <v>244</v>
      </c>
    </row>
    <row r="2352" spans="2:8">
      <c r="B2352" s="3">
        <v>45669</v>
      </c>
      <c r="C2352" t="s">
        <v>109</v>
      </c>
      <c r="D2352">
        <f>VLOOKUP(C2352,成本价!$C$2:$D$1000,2,0)*H2352</f>
        <v>5.535</v>
      </c>
      <c r="E2352">
        <f>6.81+10.9+6.81+6.81+6.81</f>
        <v>38.14</v>
      </c>
      <c r="G2352">
        <f t="shared" si="44"/>
        <v>32.605</v>
      </c>
      <c r="H2352">
        <v>6</v>
      </c>
    </row>
    <row r="2353" spans="2:8">
      <c r="B2353" s="3">
        <v>45669</v>
      </c>
      <c r="C2353" t="s">
        <v>16</v>
      </c>
      <c r="D2353">
        <f>VLOOKUP(C2353,成本价!$C$2:$D$1000,2,0)*H2353</f>
        <v>8.1</v>
      </c>
      <c r="E2353">
        <v>17.24</v>
      </c>
      <c r="G2353">
        <f t="shared" si="44"/>
        <v>9.14</v>
      </c>
      <c r="H2353">
        <v>3</v>
      </c>
    </row>
    <row r="2354" spans="2:8">
      <c r="B2354" s="3">
        <v>45669</v>
      </c>
      <c r="C2354" t="s">
        <v>16</v>
      </c>
      <c r="D2354">
        <f>VLOOKUP(C2354,成本价!$C$2:$D$1000,2,0)*H2354</f>
        <v>10.8</v>
      </c>
      <c r="E2354">
        <v>25.51</v>
      </c>
      <c r="G2354">
        <f t="shared" si="44"/>
        <v>14.71</v>
      </c>
      <c r="H2354">
        <v>4</v>
      </c>
    </row>
    <row r="2355" spans="2:8">
      <c r="B2355" s="3">
        <v>45669</v>
      </c>
      <c r="C2355" t="s">
        <v>20</v>
      </c>
      <c r="D2355">
        <f>VLOOKUP(C2355,成本价!$C$2:$D$1000,2,0)*H2355</f>
        <v>3</v>
      </c>
      <c r="G2355">
        <f t="shared" si="44"/>
        <v>-3</v>
      </c>
      <c r="H2355">
        <v>1</v>
      </c>
    </row>
    <row r="2356" spans="2:8">
      <c r="B2356" s="3">
        <v>45669</v>
      </c>
      <c r="C2356" t="s">
        <v>76</v>
      </c>
      <c r="D2356">
        <f>VLOOKUP(C2356,成本价!$C$2:$D$1000,2,0)*H2356</f>
        <v>1.7856</v>
      </c>
      <c r="E2356">
        <v>12.42</v>
      </c>
      <c r="G2356">
        <f t="shared" si="44"/>
        <v>10.6344</v>
      </c>
      <c r="H2356">
        <v>1</v>
      </c>
    </row>
    <row r="2357" spans="2:8">
      <c r="B2357" s="3">
        <v>45669</v>
      </c>
      <c r="C2357" t="s">
        <v>57</v>
      </c>
      <c r="D2357">
        <f>VLOOKUP(C2357,成本价!$C$2:$D$1000,2,0)*H2357</f>
        <v>8.9</v>
      </c>
      <c r="E2357">
        <v>30.94</v>
      </c>
      <c r="G2357">
        <f t="shared" si="44"/>
        <v>22.04</v>
      </c>
      <c r="H2357">
        <v>1</v>
      </c>
    </row>
    <row r="2358" spans="2:8">
      <c r="B2358" s="3">
        <v>45669</v>
      </c>
      <c r="C2358" t="s">
        <v>27</v>
      </c>
      <c r="D2358">
        <f>VLOOKUP(C2358,成本价!$C$2:$D$1000,2,0)*H2358</f>
        <v>0.9</v>
      </c>
      <c r="G2358">
        <f t="shared" si="44"/>
        <v>-0.9</v>
      </c>
      <c r="H2358">
        <v>0.5</v>
      </c>
    </row>
    <row r="2359" spans="2:8">
      <c r="B2359" s="3">
        <v>45669</v>
      </c>
      <c r="C2359" t="s">
        <v>58</v>
      </c>
      <c r="D2359">
        <f>VLOOKUP(C2359,成本价!$C$2:$D$1000,2,0)*H2359</f>
        <v>8.4</v>
      </c>
      <c r="E2359">
        <v>17.24</v>
      </c>
      <c r="G2359">
        <f t="shared" si="44"/>
        <v>8.84</v>
      </c>
      <c r="H2359">
        <v>1</v>
      </c>
    </row>
    <row r="2360" spans="2:8">
      <c r="B2360" s="3">
        <v>45669</v>
      </c>
      <c r="C2360" t="s">
        <v>80</v>
      </c>
      <c r="D2360">
        <f>VLOOKUP(C2360,成本价!$C$2:$D$1000,2,0)*H2360</f>
        <v>8.1</v>
      </c>
      <c r="E2360">
        <v>17.16</v>
      </c>
      <c r="G2360">
        <f t="shared" si="44"/>
        <v>9.06</v>
      </c>
      <c r="H2360">
        <v>1</v>
      </c>
    </row>
    <row r="2361" spans="2:8">
      <c r="B2361" s="3">
        <v>45669</v>
      </c>
      <c r="C2361" t="s">
        <v>64</v>
      </c>
      <c r="D2361">
        <f>VLOOKUP(C2361,成本价!$C$2:$D$1000,2,0)*H2361</f>
        <v>6.38</v>
      </c>
      <c r="E2361">
        <v>18.21</v>
      </c>
      <c r="G2361">
        <f t="shared" si="44"/>
        <v>11.83</v>
      </c>
      <c r="H2361">
        <v>1</v>
      </c>
    </row>
    <row r="2362" spans="2:8">
      <c r="B2362" s="3">
        <v>45669</v>
      </c>
      <c r="C2362" t="s">
        <v>83</v>
      </c>
      <c r="D2362">
        <f>VLOOKUP(C2362,成本价!$C$2:$D$1000,2,0)*H2362</f>
        <v>6.66</v>
      </c>
      <c r="E2362">
        <v>19.1</v>
      </c>
      <c r="G2362">
        <f t="shared" si="44"/>
        <v>12.44</v>
      </c>
      <c r="H2362">
        <v>1</v>
      </c>
    </row>
    <row r="2363" spans="2:8">
      <c r="B2363" s="3">
        <v>45669</v>
      </c>
      <c r="C2363" t="s">
        <v>92</v>
      </c>
      <c r="D2363">
        <f>VLOOKUP(C2363,成本价!$C$2:$D$1000,2,0)*H2363</f>
        <v>3</v>
      </c>
      <c r="G2363">
        <f t="shared" si="44"/>
        <v>-3</v>
      </c>
      <c r="H2363">
        <v>1</v>
      </c>
    </row>
    <row r="2364" spans="2:8">
      <c r="B2364" s="3">
        <v>45669</v>
      </c>
      <c r="C2364" t="s">
        <v>49</v>
      </c>
      <c r="D2364">
        <f>VLOOKUP(C2364,成本价!$C$2:$D$1000,2,0)*H2364</f>
        <v>1.975</v>
      </c>
      <c r="E2364">
        <v>9.88</v>
      </c>
      <c r="G2364">
        <f t="shared" si="44"/>
        <v>7.905</v>
      </c>
      <c r="H2364">
        <v>1</v>
      </c>
    </row>
    <row r="2365" spans="2:8">
      <c r="B2365" s="3">
        <v>45669</v>
      </c>
      <c r="C2365" t="s">
        <v>49</v>
      </c>
      <c r="D2365">
        <f>VLOOKUP(C2365,成本价!$C$2:$D$1000,2,0)*H2365</f>
        <v>1.975</v>
      </c>
      <c r="E2365">
        <v>10.48</v>
      </c>
      <c r="G2365">
        <f t="shared" si="44"/>
        <v>8.505</v>
      </c>
      <c r="H2365">
        <v>1</v>
      </c>
    </row>
    <row r="2366" spans="2:8">
      <c r="B2366" s="3">
        <v>45669</v>
      </c>
      <c r="C2366" t="s">
        <v>66</v>
      </c>
      <c r="D2366">
        <f>VLOOKUP(C2366,成本价!$C$2:$D$1000,2,0)*H2366</f>
        <v>6.24</v>
      </c>
      <c r="E2366">
        <v>18.92</v>
      </c>
      <c r="G2366">
        <f t="shared" si="44"/>
        <v>12.68</v>
      </c>
      <c r="H2366">
        <v>1</v>
      </c>
    </row>
    <row r="2367" spans="2:8">
      <c r="B2367" s="3">
        <v>45669</v>
      </c>
      <c r="C2367" t="s">
        <v>96</v>
      </c>
      <c r="D2367">
        <f>VLOOKUP(C2367,成本价!$C$2:$D$1000,2,0)*H2367</f>
        <v>5.1</v>
      </c>
      <c r="G2367">
        <f t="shared" si="44"/>
        <v>-5.1</v>
      </c>
      <c r="H2367">
        <v>1</v>
      </c>
    </row>
    <row r="2368" spans="2:8">
      <c r="B2368" s="3">
        <v>45669</v>
      </c>
      <c r="C2368" t="s">
        <v>50</v>
      </c>
      <c r="D2368">
        <f>VLOOKUP(C2368,成本价!$C$2:$D$1000,2,0)*H2368</f>
        <v>2.749</v>
      </c>
      <c r="E2368">
        <v>10.59</v>
      </c>
      <c r="G2368">
        <f t="shared" si="44"/>
        <v>7.841</v>
      </c>
      <c r="H2368">
        <v>1</v>
      </c>
    </row>
    <row r="2369" spans="2:8">
      <c r="B2369" s="3">
        <v>45669</v>
      </c>
      <c r="C2369" t="s">
        <v>58</v>
      </c>
      <c r="D2369">
        <f>VLOOKUP(C2369,成本价!$C$2:$D$1000,2,0)*H2369</f>
        <v>8.4</v>
      </c>
      <c r="E2369">
        <v>17.16</v>
      </c>
      <c r="G2369">
        <f t="shared" si="44"/>
        <v>8.76</v>
      </c>
      <c r="H2369">
        <v>1</v>
      </c>
    </row>
    <row r="2370" spans="2:8">
      <c r="B2370" s="3">
        <v>45669</v>
      </c>
      <c r="C2370" t="s">
        <v>51</v>
      </c>
      <c r="D2370">
        <f>VLOOKUP(C2370,成本价!$C$2:$D$1000,2,0)*H2370</f>
        <v>9</v>
      </c>
      <c r="E2370">
        <v>17.16</v>
      </c>
      <c r="G2370">
        <f t="shared" si="44"/>
        <v>8.16</v>
      </c>
      <c r="H2370">
        <v>1</v>
      </c>
    </row>
    <row r="2371" spans="2:8">
      <c r="B2371" s="3">
        <v>45669</v>
      </c>
      <c r="C2371" t="s">
        <v>94</v>
      </c>
      <c r="D2371">
        <f>VLOOKUP(C2371,成本价!$C$2:$D$1000,2,0)*H2371</f>
        <v>3.9</v>
      </c>
      <c r="E2371">
        <v>10.81</v>
      </c>
      <c r="G2371">
        <f t="shared" si="44"/>
        <v>6.91</v>
      </c>
      <c r="H2371">
        <v>1</v>
      </c>
    </row>
    <row r="2372" spans="2:10">
      <c r="B2372" s="3">
        <v>45669</v>
      </c>
      <c r="C2372" t="s">
        <v>12</v>
      </c>
      <c r="D2372">
        <f>VLOOKUP(C2372,成本价!$C$2:$D$1000,2,0)*H2372</f>
        <v>0.387</v>
      </c>
      <c r="E2372">
        <v>8.72</v>
      </c>
      <c r="G2372">
        <f t="shared" si="44"/>
        <v>8.333</v>
      </c>
      <c r="H2372">
        <v>1</v>
      </c>
      <c r="J2372" s="2" t="s">
        <v>74</v>
      </c>
    </row>
    <row r="2373" spans="2:11">
      <c r="B2373" s="3">
        <v>45669</v>
      </c>
      <c r="C2373" t="s">
        <v>44</v>
      </c>
      <c r="D2373">
        <f>VLOOKUP(C2373,成本价!$C$2:$D$1000,2,0)*H2373</f>
        <v>1.588</v>
      </c>
      <c r="G2373">
        <f t="shared" si="44"/>
        <v>-1.588</v>
      </c>
      <c r="H2373">
        <v>4</v>
      </c>
      <c r="J2373" s="2" t="s">
        <v>74</v>
      </c>
      <c r="K2373">
        <f>414.3954-F2350-I2374</f>
        <v>90.9754</v>
      </c>
    </row>
    <row r="2374" spans="2:9">
      <c r="B2374" s="3"/>
      <c r="I2374">
        <v>155.42</v>
      </c>
    </row>
    <row r="2375" spans="2:8">
      <c r="B2375" s="3">
        <v>45670</v>
      </c>
      <c r="C2375" t="s">
        <v>87</v>
      </c>
      <c r="D2375">
        <f>VLOOKUP(C2375,成本价!$C$2:$D$1000,2,0)*H2375</f>
        <v>21.2925</v>
      </c>
      <c r="E2375">
        <f>7.98+7.98+10.9+7.98+7.98+10.9+7.98+6.81+7.98+13.78+13.78+6.81+7.98+7.98+5.81+6.81+6.81+5.45+7.98+6.81+6.81+7.98+6.81+13.78+13.78+6.81+13.78+5.45+5.45+5.45+6.81+5.46+6.38</f>
        <v>271.24</v>
      </c>
      <c r="F2375">
        <f>58*3.5</f>
        <v>203</v>
      </c>
      <c r="G2375">
        <f t="shared" si="44"/>
        <v>249.9475</v>
      </c>
      <c r="H2375">
        <f>9+9+9+9+8+3+9+3+3+3+3+4+4+9+9+6+9+9+9+9+4+8+4+6+9</f>
        <v>167</v>
      </c>
    </row>
    <row r="2376" spans="2:8">
      <c r="B2376" s="3">
        <v>45670</v>
      </c>
      <c r="C2376" t="s">
        <v>88</v>
      </c>
      <c r="D2376">
        <f>VLOOKUP(C2376,成本价!$C$2:$D$1000,2,0)*H2376</f>
        <v>30.645</v>
      </c>
      <c r="G2376">
        <f t="shared" si="44"/>
        <v>-30.645</v>
      </c>
      <c r="H2376">
        <f>3+3+4+9+9+9+3+16+16+9+3+3+3+9+9+3+9+9+3+16+12+9+16+27+3+9+3</f>
        <v>227</v>
      </c>
    </row>
    <row r="2377" spans="2:8">
      <c r="B2377" s="3">
        <v>45670</v>
      </c>
      <c r="C2377" t="s">
        <v>109</v>
      </c>
      <c r="D2377">
        <f>VLOOKUP(C2377,成本价!$C$2:$D$1000,2,0)*H2377</f>
        <v>7.38</v>
      </c>
      <c r="E2377">
        <f>6.81+6.81+6.81+16.35+6.81+6.81</f>
        <v>50.4</v>
      </c>
      <c r="G2377">
        <f t="shared" si="44"/>
        <v>43.02</v>
      </c>
      <c r="H2377">
        <v>8</v>
      </c>
    </row>
    <row r="2378" spans="2:8">
      <c r="B2378" s="3">
        <v>45670</v>
      </c>
      <c r="C2378" t="s">
        <v>80</v>
      </c>
      <c r="D2378">
        <f>VLOOKUP(C2378,成本价!$C$2:$D$1000,2,0)*H2378</f>
        <v>8.1</v>
      </c>
      <c r="E2378">
        <v>17.16</v>
      </c>
      <c r="G2378">
        <f t="shared" si="44"/>
        <v>9.06</v>
      </c>
      <c r="H2378">
        <v>1</v>
      </c>
    </row>
    <row r="2379" spans="2:8">
      <c r="B2379" s="3">
        <v>45670</v>
      </c>
      <c r="C2379" t="s">
        <v>33</v>
      </c>
      <c r="D2379">
        <f>VLOOKUP(C2379,成本价!$C$2:$D$1000,2,0)*H2379</f>
        <v>2.55</v>
      </c>
      <c r="E2379">
        <v>5.82</v>
      </c>
      <c r="G2379">
        <f t="shared" si="44"/>
        <v>3.27</v>
      </c>
      <c r="H2379">
        <v>1.5</v>
      </c>
    </row>
    <row r="2380" spans="2:8">
      <c r="B2380" s="3">
        <v>45670</v>
      </c>
      <c r="C2380" t="s">
        <v>49</v>
      </c>
      <c r="D2380">
        <f>VLOOKUP(C2380,成本价!$C$2:$D$1000,2,0)*H2380</f>
        <v>1.975</v>
      </c>
      <c r="E2380">
        <v>8.21</v>
      </c>
      <c r="G2380">
        <f t="shared" si="44"/>
        <v>6.235</v>
      </c>
      <c r="H2380">
        <v>1</v>
      </c>
    </row>
    <row r="2381" spans="2:8">
      <c r="B2381" s="3">
        <v>45670</v>
      </c>
      <c r="C2381" t="s">
        <v>80</v>
      </c>
      <c r="D2381">
        <f>VLOOKUP(C2381,成本价!$C$2:$D$1000,2,0)*H2381</f>
        <v>8.1</v>
      </c>
      <c r="E2381">
        <v>17.16</v>
      </c>
      <c r="G2381">
        <f t="shared" si="44"/>
        <v>9.06</v>
      </c>
      <c r="H2381">
        <v>1</v>
      </c>
    </row>
    <row r="2382" spans="2:8">
      <c r="B2382" s="3">
        <v>45670</v>
      </c>
      <c r="C2382" t="s">
        <v>80</v>
      </c>
      <c r="D2382">
        <f>VLOOKUP(C2382,成本价!$C$2:$D$1000,2,0)*H2382</f>
        <v>8.1</v>
      </c>
      <c r="E2382">
        <v>17.16</v>
      </c>
      <c r="G2382">
        <f t="shared" si="44"/>
        <v>9.06</v>
      </c>
      <c r="H2382">
        <v>1</v>
      </c>
    </row>
    <row r="2383" spans="2:8">
      <c r="B2383" s="3">
        <v>45670</v>
      </c>
      <c r="C2383" t="s">
        <v>33</v>
      </c>
      <c r="D2383">
        <f>VLOOKUP(C2383,成本价!$C$2:$D$1000,2,0)*H2383</f>
        <v>1.7</v>
      </c>
      <c r="E2383">
        <v>6.27</v>
      </c>
      <c r="G2383">
        <f t="shared" si="44"/>
        <v>4.57</v>
      </c>
      <c r="H2383">
        <v>1</v>
      </c>
    </row>
    <row r="2384" spans="2:8">
      <c r="B2384" s="3">
        <v>45670</v>
      </c>
      <c r="C2384" t="s">
        <v>50</v>
      </c>
      <c r="D2384">
        <f>VLOOKUP(C2384,成本价!$C$2:$D$1000,2,0)*H2384</f>
        <v>2.749</v>
      </c>
      <c r="E2384">
        <v>10.52</v>
      </c>
      <c r="G2384">
        <f t="shared" si="44"/>
        <v>7.771</v>
      </c>
      <c r="H2384">
        <v>1</v>
      </c>
    </row>
    <row r="2385" spans="2:8">
      <c r="B2385" s="3">
        <v>45670</v>
      </c>
      <c r="C2385" t="s">
        <v>76</v>
      </c>
      <c r="D2385">
        <f>VLOOKUP(C2385,成本价!$C$2:$D$1000,2,0)*H2385</f>
        <v>1.7856</v>
      </c>
      <c r="E2385">
        <v>12.42</v>
      </c>
      <c r="G2385">
        <f t="shared" si="44"/>
        <v>10.6344</v>
      </c>
      <c r="H2385">
        <v>1</v>
      </c>
    </row>
    <row r="2386" spans="2:8">
      <c r="B2386" s="3">
        <v>45670</v>
      </c>
      <c r="C2386" t="s">
        <v>20</v>
      </c>
      <c r="D2386">
        <f>VLOOKUP(C2386,成本价!$C$2:$D$1000,2,0)*H2386</f>
        <v>21</v>
      </c>
      <c r="E2386">
        <v>36.69</v>
      </c>
      <c r="G2386">
        <f t="shared" si="44"/>
        <v>15.69</v>
      </c>
      <c r="H2386">
        <v>7</v>
      </c>
    </row>
    <row r="2387" spans="2:8">
      <c r="B2387" s="3">
        <v>45670</v>
      </c>
      <c r="C2387" t="s">
        <v>64</v>
      </c>
      <c r="D2387">
        <f>VLOOKUP(C2387,成本价!$C$2:$D$1000,2,0)*H2387</f>
        <v>6.38</v>
      </c>
      <c r="E2387">
        <v>18.21</v>
      </c>
      <c r="G2387">
        <f t="shared" si="44"/>
        <v>11.83</v>
      </c>
      <c r="H2387">
        <v>1</v>
      </c>
    </row>
    <row r="2388" spans="2:8">
      <c r="B2388" s="3">
        <v>45670</v>
      </c>
      <c r="C2388" t="s">
        <v>61</v>
      </c>
      <c r="D2388">
        <f>VLOOKUP(C2388,成本价!$C$2:$D$1000,2,0)*H2388</f>
        <v>20.1</v>
      </c>
      <c r="E2388">
        <v>36.51</v>
      </c>
      <c r="G2388">
        <f t="shared" si="44"/>
        <v>16.41</v>
      </c>
      <c r="H2388">
        <v>1</v>
      </c>
    </row>
    <row r="2389" spans="2:8">
      <c r="B2389" s="3">
        <v>45670</v>
      </c>
      <c r="C2389" t="s">
        <v>28</v>
      </c>
      <c r="D2389">
        <f>VLOOKUP(C2389,成本价!$C$2:$D$1000,2,0)*H2389</f>
        <v>2.22</v>
      </c>
      <c r="E2389">
        <v>6.86</v>
      </c>
      <c r="G2389">
        <f t="shared" si="44"/>
        <v>4.64</v>
      </c>
      <c r="H2389">
        <v>1</v>
      </c>
    </row>
    <row r="2390" spans="2:8">
      <c r="B2390" s="3">
        <v>45670</v>
      </c>
      <c r="C2390" t="s">
        <v>96</v>
      </c>
      <c r="D2390">
        <f>VLOOKUP(C2390,成本价!$C$2:$D$1000,2,0)*H2390</f>
        <v>5.1</v>
      </c>
      <c r="E2390">
        <v>9.34</v>
      </c>
      <c r="G2390">
        <f t="shared" si="44"/>
        <v>4.24</v>
      </c>
      <c r="H2390">
        <v>1</v>
      </c>
    </row>
    <row r="2391" spans="2:8">
      <c r="B2391" s="3">
        <v>45670</v>
      </c>
      <c r="C2391" t="s">
        <v>57</v>
      </c>
      <c r="D2391">
        <f>VLOOKUP(C2391,成本价!$C$2:$D$1000,2,0)*H2391</f>
        <v>8.9</v>
      </c>
      <c r="E2391">
        <v>30.84</v>
      </c>
      <c r="G2391">
        <f t="shared" si="44"/>
        <v>21.94</v>
      </c>
      <c r="H2391">
        <v>1</v>
      </c>
    </row>
    <row r="2392" spans="2:8">
      <c r="B2392" s="3">
        <v>45670</v>
      </c>
      <c r="C2392" t="s">
        <v>33</v>
      </c>
      <c r="D2392">
        <f>VLOOKUP(C2392,成本价!$C$2:$D$1000,2,0)*H2392</f>
        <v>2.55</v>
      </c>
      <c r="E2392">
        <v>5.82</v>
      </c>
      <c r="G2392">
        <f t="shared" si="44"/>
        <v>3.27</v>
      </c>
      <c r="H2392">
        <v>1.5</v>
      </c>
    </row>
    <row r="2393" spans="2:8">
      <c r="B2393" s="3">
        <v>45670</v>
      </c>
      <c r="C2393" t="s">
        <v>58</v>
      </c>
      <c r="D2393">
        <f>VLOOKUP(C2393,成本价!$C$2:$D$1000,2,0)*H2393</f>
        <v>8.4</v>
      </c>
      <c r="E2393">
        <v>17.24</v>
      </c>
      <c r="G2393">
        <f t="shared" si="44"/>
        <v>8.84</v>
      </c>
      <c r="H2393">
        <v>1</v>
      </c>
    </row>
    <row r="2394" spans="2:8">
      <c r="B2394" s="3">
        <v>45670</v>
      </c>
      <c r="C2394" t="s">
        <v>55</v>
      </c>
      <c r="D2394">
        <f>VLOOKUP(C2394,成本价!$C$2:$D$1000,2,0)*H2394</f>
        <v>3.513</v>
      </c>
      <c r="E2394">
        <v>13.55</v>
      </c>
      <c r="G2394">
        <f t="shared" si="44"/>
        <v>10.037</v>
      </c>
      <c r="H2394">
        <v>3</v>
      </c>
    </row>
    <row r="2395" spans="2:8">
      <c r="B2395" s="3">
        <v>45670</v>
      </c>
      <c r="C2395" t="s">
        <v>23</v>
      </c>
      <c r="D2395">
        <f>VLOOKUP(C2395,成本价!$C$2:$D$1000,2,0)*H2395</f>
        <v>4.16</v>
      </c>
      <c r="E2395">
        <v>12.72</v>
      </c>
      <c r="G2395">
        <f t="shared" si="44"/>
        <v>8.56</v>
      </c>
      <c r="H2395">
        <v>2</v>
      </c>
    </row>
    <row r="2396" spans="2:8">
      <c r="B2396" s="3">
        <v>45670</v>
      </c>
      <c r="C2396" t="s">
        <v>50</v>
      </c>
      <c r="D2396">
        <f>VLOOKUP(C2396,成本价!$C$2:$D$1000,2,0)*H2396</f>
        <v>2.749</v>
      </c>
      <c r="E2396">
        <v>10.86</v>
      </c>
      <c r="G2396">
        <f t="shared" si="44"/>
        <v>8.111</v>
      </c>
      <c r="H2396">
        <v>1</v>
      </c>
    </row>
    <row r="2397" spans="2:8">
      <c r="B2397" s="3">
        <v>45670</v>
      </c>
      <c r="C2397" t="s">
        <v>79</v>
      </c>
      <c r="D2397">
        <f>VLOOKUP(C2397,成本价!$C$2:$D$1000,2,0)*H2397</f>
        <v>12.3</v>
      </c>
      <c r="E2397">
        <v>36.84</v>
      </c>
      <c r="G2397">
        <f t="shared" si="44"/>
        <v>24.54</v>
      </c>
      <c r="H2397">
        <v>1</v>
      </c>
    </row>
    <row r="2398" spans="2:8">
      <c r="B2398" s="3">
        <v>45670</v>
      </c>
      <c r="C2398" t="s">
        <v>90</v>
      </c>
      <c r="D2398">
        <f>VLOOKUP(C2398,成本价!$C$2:$D$1000,2,0)*H2398</f>
        <v>2.6</v>
      </c>
      <c r="G2398">
        <f t="shared" si="44"/>
        <v>-2.6</v>
      </c>
      <c r="H2398">
        <v>1</v>
      </c>
    </row>
    <row r="2399" spans="2:8">
      <c r="B2399" s="3">
        <v>45670</v>
      </c>
      <c r="C2399" t="s">
        <v>80</v>
      </c>
      <c r="D2399">
        <f>VLOOKUP(C2399,成本价!$C$2:$D$1000,2,0)*H2399</f>
        <v>8.1</v>
      </c>
      <c r="E2399">
        <v>17.16</v>
      </c>
      <c r="G2399">
        <f t="shared" si="44"/>
        <v>9.06</v>
      </c>
      <c r="H2399">
        <v>1</v>
      </c>
    </row>
    <row r="2400" spans="2:8">
      <c r="B2400" s="3">
        <v>45670</v>
      </c>
      <c r="C2400" t="s">
        <v>58</v>
      </c>
      <c r="D2400">
        <f>VLOOKUP(C2400,成本价!$C$2:$D$1000,2,0)*H2400</f>
        <v>8.4</v>
      </c>
      <c r="E2400">
        <v>17.24</v>
      </c>
      <c r="G2400">
        <f t="shared" si="44"/>
        <v>8.84</v>
      </c>
      <c r="H2400">
        <v>1</v>
      </c>
    </row>
    <row r="2401" spans="2:8">
      <c r="B2401" s="3">
        <v>45670</v>
      </c>
      <c r="C2401" t="s">
        <v>33</v>
      </c>
      <c r="D2401">
        <f>VLOOKUP(C2401,成本价!$C$2:$D$1000,2,0)*H2401</f>
        <v>2.55</v>
      </c>
      <c r="E2401">
        <v>6.97</v>
      </c>
      <c r="G2401">
        <f t="shared" si="44"/>
        <v>4.42</v>
      </c>
      <c r="H2401">
        <v>1.5</v>
      </c>
    </row>
    <row r="2402" spans="2:8">
      <c r="B2402" s="3">
        <v>45670</v>
      </c>
      <c r="C2402" t="s">
        <v>27</v>
      </c>
      <c r="D2402">
        <f>VLOOKUP(C2402,成本价!$C$2:$D$1000,2,0)*H2402</f>
        <v>5.4</v>
      </c>
      <c r="E2402">
        <f>6.98+7.82</f>
        <v>14.8</v>
      </c>
      <c r="G2402">
        <f t="shared" si="44"/>
        <v>9.4</v>
      </c>
      <c r="H2402">
        <v>3</v>
      </c>
    </row>
    <row r="2403" spans="2:10">
      <c r="B2403" s="3">
        <v>45670</v>
      </c>
      <c r="C2403" t="s">
        <v>99</v>
      </c>
      <c r="D2403">
        <f>VLOOKUP(C2403,成本价!$C$2:$D$1000,2,0)*H2403</f>
        <v>7.2</v>
      </c>
      <c r="E2403">
        <v>18.48</v>
      </c>
      <c r="G2403">
        <f t="shared" si="44"/>
        <v>11.28</v>
      </c>
      <c r="H2403">
        <v>1</v>
      </c>
      <c r="J2403" s="2" t="s">
        <v>74</v>
      </c>
    </row>
    <row r="2404" spans="2:9">
      <c r="B2404" s="3"/>
      <c r="I2404">
        <v>216.3</v>
      </c>
    </row>
    <row r="2405" spans="2:8">
      <c r="B2405" s="3">
        <v>45671</v>
      </c>
      <c r="C2405" t="s">
        <v>87</v>
      </c>
      <c r="D2405">
        <f>VLOOKUP(C2405,成本价!$C$2:$D$1000,2,0)*H2405</f>
        <v>19.2525</v>
      </c>
      <c r="E2405">
        <f>7.98+6.81+5.46+6.38+6.81+13.78+12.77+6.81+7.98+7.98+13.78+7.98+7.98+5.45+5.45+5.45+7.98+7.98+10.9+6.81+6.81+7.98+6.81</f>
        <v>184.12</v>
      </c>
      <c r="F2405">
        <f>45*3.5</f>
        <v>157.5</v>
      </c>
      <c r="G2405">
        <f t="shared" si="44"/>
        <v>164.8675</v>
      </c>
      <c r="H2405">
        <f>9+6+9+9+12+8+4+3+9+9+4+9+9+9+9+3+3+9+9+9</f>
        <v>151</v>
      </c>
    </row>
    <row r="2406" spans="2:8">
      <c r="B2406" s="3">
        <v>45671</v>
      </c>
      <c r="C2406" t="s">
        <v>88</v>
      </c>
      <c r="D2406">
        <f>VLOOKUP(C2406,成本价!$C$2:$D$1000,2,0)*H2406</f>
        <v>17.415</v>
      </c>
      <c r="G2406">
        <f t="shared" si="44"/>
        <v>-17.415</v>
      </c>
      <c r="H2406">
        <f>9+3+6+6+12+3+9+9+3+3+16+3+3+6+4+4+4+8+9+3+3+3</f>
        <v>129</v>
      </c>
    </row>
    <row r="2407" spans="2:8">
      <c r="B2407" s="3">
        <v>45671</v>
      </c>
      <c r="C2407" t="s">
        <v>109</v>
      </c>
      <c r="D2407">
        <f>VLOOKUP(C2407,成本价!$C$2:$D$1000,2,0)*H2407</f>
        <v>10.1475</v>
      </c>
      <c r="E2407">
        <f>6.81+6.81+6.81+6.81+16.35+10.9+6.81+6.81</f>
        <v>68.11</v>
      </c>
      <c r="G2407">
        <f t="shared" si="44"/>
        <v>57.9625</v>
      </c>
      <c r="H2407">
        <v>11</v>
      </c>
    </row>
    <row r="2408" spans="2:8">
      <c r="B2408" s="3">
        <v>45671</v>
      </c>
      <c r="C2408" t="s">
        <v>94</v>
      </c>
      <c r="D2408">
        <f>VLOOKUP(C2408,成本价!$C$2:$D$1000,2,0)*H2408</f>
        <v>3.9</v>
      </c>
      <c r="E2408">
        <v>10.81</v>
      </c>
      <c r="G2408">
        <f t="shared" ref="G2408:G2471" si="45">E2408-D2408</f>
        <v>6.91</v>
      </c>
      <c r="H2408">
        <v>1</v>
      </c>
    </row>
    <row r="2409" spans="2:8">
      <c r="B2409" s="3">
        <v>45671</v>
      </c>
      <c r="C2409" t="s">
        <v>33</v>
      </c>
      <c r="D2409">
        <f>VLOOKUP(C2409,成本价!$C$2:$D$1000,2,0)*H2409</f>
        <v>1.7</v>
      </c>
      <c r="E2409">
        <f>7.54*2</f>
        <v>15.08</v>
      </c>
      <c r="G2409">
        <f t="shared" si="45"/>
        <v>13.38</v>
      </c>
      <c r="H2409">
        <v>1</v>
      </c>
    </row>
    <row r="2410" spans="2:8">
      <c r="B2410" s="3">
        <v>45671</v>
      </c>
      <c r="C2410" t="s">
        <v>16</v>
      </c>
      <c r="D2410">
        <f>VLOOKUP(C2410,成本价!$C$2:$D$1000,2,0)*H2410</f>
        <v>8.1</v>
      </c>
      <c r="E2410">
        <v>27.33</v>
      </c>
      <c r="G2410">
        <f t="shared" si="45"/>
        <v>19.23</v>
      </c>
      <c r="H2410">
        <v>3</v>
      </c>
    </row>
    <row r="2411" spans="2:8">
      <c r="B2411" s="3">
        <v>45671</v>
      </c>
      <c r="C2411" t="s">
        <v>20</v>
      </c>
      <c r="D2411">
        <f>VLOOKUP(C2411,成本价!$C$2:$D$1000,2,0)*H2411</f>
        <v>6</v>
      </c>
      <c r="G2411">
        <f t="shared" si="45"/>
        <v>-6</v>
      </c>
      <c r="H2411">
        <v>2</v>
      </c>
    </row>
    <row r="2412" spans="2:8">
      <c r="B2412" s="3">
        <v>45671</v>
      </c>
      <c r="C2412" t="s">
        <v>55</v>
      </c>
      <c r="D2412">
        <f>VLOOKUP(C2412,成本价!$C$2:$D$1000,2,0)*H2412</f>
        <v>3.513</v>
      </c>
      <c r="E2412">
        <v>13.4</v>
      </c>
      <c r="G2412">
        <f t="shared" si="45"/>
        <v>9.887</v>
      </c>
      <c r="H2412">
        <v>3</v>
      </c>
    </row>
    <row r="2413" spans="2:8">
      <c r="B2413" s="3">
        <v>45671</v>
      </c>
      <c r="C2413" t="s">
        <v>63</v>
      </c>
      <c r="D2413">
        <f>VLOOKUP(C2413,成本价!$C$2:$D$1000,2,0)*H2413</f>
        <v>5.1</v>
      </c>
      <c r="E2413">
        <v>19.02</v>
      </c>
      <c r="G2413">
        <f t="shared" si="45"/>
        <v>13.92</v>
      </c>
      <c r="H2413">
        <v>1</v>
      </c>
    </row>
    <row r="2414" spans="2:8">
      <c r="B2414" s="3">
        <v>45671</v>
      </c>
      <c r="C2414" t="s">
        <v>58</v>
      </c>
      <c r="D2414">
        <f>VLOOKUP(C2414,成本价!$C$2:$D$1000,2,0)*H2414</f>
        <v>8.4</v>
      </c>
      <c r="E2414">
        <v>17.16</v>
      </c>
      <c r="G2414">
        <f t="shared" si="45"/>
        <v>8.76</v>
      </c>
      <c r="H2414">
        <v>1</v>
      </c>
    </row>
    <row r="2415" spans="2:8">
      <c r="B2415" s="3">
        <v>45671</v>
      </c>
      <c r="C2415" t="s">
        <v>58</v>
      </c>
      <c r="D2415">
        <f>VLOOKUP(C2415,成本价!$C$2:$D$1000,2,0)*H2415</f>
        <v>8.4</v>
      </c>
      <c r="E2415">
        <v>17.16</v>
      </c>
      <c r="G2415">
        <f t="shared" si="45"/>
        <v>8.76</v>
      </c>
      <c r="H2415">
        <v>1</v>
      </c>
    </row>
    <row r="2416" spans="2:8">
      <c r="B2416" s="3">
        <v>45671</v>
      </c>
      <c r="C2416" t="s">
        <v>59</v>
      </c>
      <c r="D2416">
        <f>VLOOKUP(C2416,成本价!$C$2:$D$1000,2,0)*H2416</f>
        <v>8.7</v>
      </c>
      <c r="E2416">
        <v>30.92</v>
      </c>
      <c r="G2416">
        <f t="shared" si="45"/>
        <v>22.22</v>
      </c>
      <c r="H2416">
        <v>1</v>
      </c>
    </row>
    <row r="2417" spans="2:8">
      <c r="B2417" s="3">
        <v>45671</v>
      </c>
      <c r="C2417" t="s">
        <v>90</v>
      </c>
      <c r="D2417">
        <f>VLOOKUP(C2417,成本价!$C$2:$D$1000,2,0)*H2417</f>
        <v>2.6</v>
      </c>
      <c r="G2417">
        <f t="shared" si="45"/>
        <v>-2.6</v>
      </c>
      <c r="H2417">
        <v>1</v>
      </c>
    </row>
    <row r="2418" spans="2:8">
      <c r="B2418" s="3">
        <v>45671</v>
      </c>
      <c r="C2418" t="s">
        <v>93</v>
      </c>
      <c r="D2418">
        <f>VLOOKUP(C2418,成本价!$C$2:$D$1000,2,0)*H2418</f>
        <v>4.77</v>
      </c>
      <c r="E2418">
        <v>13.97</v>
      </c>
      <c r="G2418">
        <f t="shared" si="45"/>
        <v>9.2</v>
      </c>
      <c r="H2418">
        <v>1</v>
      </c>
    </row>
    <row r="2419" spans="2:8">
      <c r="B2419" s="3">
        <v>45671</v>
      </c>
      <c r="C2419" t="s">
        <v>58</v>
      </c>
      <c r="D2419">
        <f>VLOOKUP(C2419,成本价!$C$2:$D$1000,2,0)*H2419</f>
        <v>8.4</v>
      </c>
      <c r="E2419">
        <v>17.16</v>
      </c>
      <c r="G2419">
        <f t="shared" si="45"/>
        <v>8.76</v>
      </c>
      <c r="H2419">
        <v>1</v>
      </c>
    </row>
    <row r="2420" spans="2:8">
      <c r="B2420" s="3">
        <v>45671</v>
      </c>
      <c r="C2420" t="s">
        <v>40</v>
      </c>
      <c r="D2420">
        <f>VLOOKUP(C2420,成本价!$C$2:$D$1000,2,0)*H2420</f>
        <v>1.88</v>
      </c>
      <c r="E2420">
        <v>7.72</v>
      </c>
      <c r="G2420">
        <f t="shared" si="45"/>
        <v>5.84</v>
      </c>
      <c r="H2420">
        <v>1</v>
      </c>
    </row>
    <row r="2421" spans="2:8">
      <c r="B2421" s="3">
        <v>45671</v>
      </c>
      <c r="C2421" t="s">
        <v>50</v>
      </c>
      <c r="D2421">
        <f>VLOOKUP(C2421,成本价!$C$2:$D$1000,2,0)*H2421</f>
        <v>2.749</v>
      </c>
      <c r="E2421">
        <v>10.86</v>
      </c>
      <c r="G2421">
        <f t="shared" si="45"/>
        <v>8.111</v>
      </c>
      <c r="H2421">
        <v>1</v>
      </c>
    </row>
    <row r="2422" spans="2:8">
      <c r="B2422" s="3">
        <v>45671</v>
      </c>
      <c r="C2422" t="s">
        <v>80</v>
      </c>
      <c r="D2422">
        <f>VLOOKUP(C2422,成本价!$C$2:$D$1000,2,0)*H2422</f>
        <v>8.1</v>
      </c>
      <c r="E2422">
        <v>17.16</v>
      </c>
      <c r="G2422">
        <f t="shared" si="45"/>
        <v>9.06</v>
      </c>
      <c r="H2422">
        <v>1</v>
      </c>
    </row>
    <row r="2423" spans="2:8">
      <c r="B2423" s="3">
        <v>45671</v>
      </c>
      <c r="C2423" t="s">
        <v>56</v>
      </c>
      <c r="D2423">
        <f>VLOOKUP(C2423,成本价!$C$2:$D$1000,2,0)*H2423</f>
        <v>1.161</v>
      </c>
      <c r="E2423">
        <v>8.4</v>
      </c>
      <c r="G2423">
        <f t="shared" si="45"/>
        <v>7.239</v>
      </c>
      <c r="H2423">
        <v>1</v>
      </c>
    </row>
    <row r="2424" spans="2:8">
      <c r="B2424" s="3">
        <v>45671</v>
      </c>
      <c r="C2424" t="s">
        <v>77</v>
      </c>
      <c r="D2424">
        <f>VLOOKUP(C2424,成本价!$C$2:$D$1000,2,0)*H2424</f>
        <v>0.4032</v>
      </c>
      <c r="E2424">
        <v>7.74</v>
      </c>
      <c r="G2424">
        <f t="shared" si="45"/>
        <v>7.3368</v>
      </c>
      <c r="H2424">
        <v>1</v>
      </c>
    </row>
    <row r="2425" spans="2:8">
      <c r="B2425" s="3">
        <v>45671</v>
      </c>
      <c r="C2425" t="s">
        <v>58</v>
      </c>
      <c r="D2425">
        <f>VLOOKUP(C2425,成本价!$C$2:$D$1000,2,0)*H2425</f>
        <v>8.4</v>
      </c>
      <c r="E2425">
        <v>17.16</v>
      </c>
      <c r="G2425">
        <f t="shared" si="45"/>
        <v>8.76</v>
      </c>
      <c r="H2425">
        <v>1</v>
      </c>
    </row>
    <row r="2426" spans="2:8">
      <c r="B2426" s="3">
        <v>45671</v>
      </c>
      <c r="C2426" t="s">
        <v>50</v>
      </c>
      <c r="D2426">
        <f>VLOOKUP(C2426,成本价!$C$2:$D$1000,2,0)*H2426</f>
        <v>2.749</v>
      </c>
      <c r="E2426">
        <v>10.52</v>
      </c>
      <c r="G2426">
        <f t="shared" si="45"/>
        <v>7.771</v>
      </c>
      <c r="H2426">
        <v>1</v>
      </c>
    </row>
    <row r="2427" spans="2:10">
      <c r="B2427" s="3">
        <v>45671</v>
      </c>
      <c r="C2427" t="s">
        <v>33</v>
      </c>
      <c r="D2427">
        <f>VLOOKUP(C2427,成本价!$C$2:$D$1000,2,0)*H2427</f>
        <v>1.7</v>
      </c>
      <c r="E2427">
        <v>28.53</v>
      </c>
      <c r="G2427">
        <f t="shared" si="45"/>
        <v>26.83</v>
      </c>
      <c r="H2427">
        <v>1</v>
      </c>
      <c r="J2427" s="2" t="s">
        <v>74</v>
      </c>
    </row>
    <row r="2428" spans="2:10">
      <c r="B2428" s="3">
        <v>45671</v>
      </c>
      <c r="C2428" t="s">
        <v>27</v>
      </c>
      <c r="D2428">
        <f>VLOOKUP(C2428,成本价!$C$2:$D$1000,2,0)*H2428</f>
        <v>3.6</v>
      </c>
      <c r="G2428">
        <f t="shared" si="45"/>
        <v>-3.6</v>
      </c>
      <c r="H2428">
        <v>2</v>
      </c>
      <c r="J2428" s="2" t="s">
        <v>74</v>
      </c>
    </row>
    <row r="2429" spans="2:10">
      <c r="B2429" s="3">
        <v>45671</v>
      </c>
      <c r="C2429" t="s">
        <v>94</v>
      </c>
      <c r="D2429">
        <f>VLOOKUP(C2429,成本价!$C$2:$D$1000,2,0)*H2429</f>
        <v>3.9</v>
      </c>
      <c r="G2429">
        <f t="shared" si="45"/>
        <v>-3.9</v>
      </c>
      <c r="H2429">
        <v>1</v>
      </c>
      <c r="J2429" s="2" t="s">
        <v>74</v>
      </c>
    </row>
    <row r="2430" spans="2:10">
      <c r="B2430" s="3">
        <v>45671</v>
      </c>
      <c r="C2430" t="s">
        <v>57</v>
      </c>
      <c r="D2430">
        <f>VLOOKUP(C2430,成本价!$C$2:$D$1000,2,0)*H2430</f>
        <v>8.9</v>
      </c>
      <c r="E2430">
        <v>26.06</v>
      </c>
      <c r="G2430">
        <f t="shared" si="45"/>
        <v>17.16</v>
      </c>
      <c r="H2430">
        <v>1</v>
      </c>
      <c r="J2430" s="2" t="s">
        <v>74</v>
      </c>
    </row>
    <row r="2431" spans="2:10">
      <c r="B2431" s="3">
        <v>45671</v>
      </c>
      <c r="C2431" t="s">
        <v>90</v>
      </c>
      <c r="D2431">
        <f>VLOOKUP(C2431,成本价!$C$2:$D$1000,2,0)*H2431</f>
        <v>2.6</v>
      </c>
      <c r="G2431">
        <f t="shared" si="45"/>
        <v>-2.6</v>
      </c>
      <c r="H2431">
        <v>1</v>
      </c>
      <c r="J2431" s="2" t="s">
        <v>74</v>
      </c>
    </row>
    <row r="2432" spans="2:9">
      <c r="B2432" s="3"/>
      <c r="I2432">
        <v>157.97</v>
      </c>
    </row>
    <row r="2433" spans="2:8">
      <c r="B2433" s="3">
        <v>45672</v>
      </c>
      <c r="C2433" t="s">
        <v>87</v>
      </c>
      <c r="D2433">
        <f>VLOOKUP(C2433,成本价!$C$2:$D$1000,2,0)*H2433</f>
        <v>22.695</v>
      </c>
      <c r="E2433">
        <f>13.78+6.81+13.78+6.81+5.45+6.81+6.81+6.81+6.81+7.98+6.81+13.78+6.81+6.81+6.38+13.78+6.81+7.98+11.83+11.82+6.81+13.78+7.98+13.78+6.81</f>
        <v>223.82</v>
      </c>
      <c r="G2433">
        <f t="shared" si="45"/>
        <v>201.125</v>
      </c>
      <c r="H2433">
        <f>4+5+4+6+6+6+9+9+9+9+4+20+9+6+9+4+6+8+4+8+3+4+9+8+9</f>
        <v>178</v>
      </c>
    </row>
    <row r="2434" spans="2:8">
      <c r="B2434" s="3">
        <v>45672</v>
      </c>
      <c r="C2434" t="s">
        <v>88</v>
      </c>
      <c r="D2434">
        <f>VLOOKUP(C2434,成本价!$C$2:$D$1000,2,0)*H2434</f>
        <v>19.845</v>
      </c>
      <c r="G2434">
        <f t="shared" si="45"/>
        <v>-19.845</v>
      </c>
      <c r="H2434">
        <f>12+3+16+6+12+16+4+3+16+3+3+5+3+3+3+3+16+4+16</f>
        <v>147</v>
      </c>
    </row>
    <row r="2435" spans="2:8">
      <c r="B2435" s="3">
        <v>45672</v>
      </c>
      <c r="C2435" t="s">
        <v>109</v>
      </c>
      <c r="D2435">
        <f>VLOOKUP(C2435,成本价!$C$2:$D$1000,2,0)*H2435</f>
        <v>7.38</v>
      </c>
      <c r="E2435">
        <f>6.81+6.81+6.81+5.46+6.81+6.81+6.81+5.45</f>
        <v>51.77</v>
      </c>
      <c r="G2435">
        <f t="shared" si="45"/>
        <v>44.39</v>
      </c>
      <c r="H2435">
        <v>8</v>
      </c>
    </row>
    <row r="2436" spans="2:8">
      <c r="B2436" s="3">
        <v>45672</v>
      </c>
      <c r="C2436" t="s">
        <v>50</v>
      </c>
      <c r="D2436">
        <f>VLOOKUP(C2436,成本价!$C$2:$D$1000,2,0)*H2436</f>
        <v>2.749</v>
      </c>
      <c r="E2436">
        <v>9.59</v>
      </c>
      <c r="G2436">
        <f t="shared" si="45"/>
        <v>6.841</v>
      </c>
      <c r="H2436">
        <v>1</v>
      </c>
    </row>
    <row r="2437" spans="2:8">
      <c r="B2437" s="3">
        <v>45672</v>
      </c>
      <c r="C2437" t="s">
        <v>49</v>
      </c>
      <c r="D2437">
        <f>VLOOKUP(C2437,成本价!$C$2:$D$1000,2,0)*H2437</f>
        <v>1.975</v>
      </c>
      <c r="E2437">
        <v>7.72</v>
      </c>
      <c r="G2437">
        <f t="shared" si="45"/>
        <v>5.745</v>
      </c>
      <c r="H2437">
        <v>1</v>
      </c>
    </row>
    <row r="2438" spans="2:8">
      <c r="B2438" s="3">
        <v>45672</v>
      </c>
      <c r="C2438" t="s">
        <v>57</v>
      </c>
      <c r="D2438">
        <f>VLOOKUP(C2438,成本价!$C$2:$D$1000,2,0)*H2438</f>
        <v>8.9</v>
      </c>
      <c r="E2438">
        <v>29.9</v>
      </c>
      <c r="G2438">
        <f t="shared" si="45"/>
        <v>21</v>
      </c>
      <c r="H2438">
        <v>1</v>
      </c>
    </row>
    <row r="2439" spans="2:8">
      <c r="B2439" s="3">
        <v>45672</v>
      </c>
      <c r="C2439" t="s">
        <v>90</v>
      </c>
      <c r="D2439">
        <f>VLOOKUP(C2439,成本价!$C$2:$D$1000,2,0)*H2439</f>
        <v>2.6</v>
      </c>
      <c r="G2439">
        <f t="shared" si="45"/>
        <v>-2.6</v>
      </c>
      <c r="H2439">
        <v>1</v>
      </c>
    </row>
    <row r="2440" spans="2:8">
      <c r="B2440" s="3">
        <v>45672</v>
      </c>
      <c r="C2440" t="s">
        <v>55</v>
      </c>
      <c r="D2440">
        <f>VLOOKUP(C2440,成本价!$C$2:$D$1000,2,0)*H2440</f>
        <v>3.513</v>
      </c>
      <c r="E2440">
        <v>13.4</v>
      </c>
      <c r="G2440">
        <f t="shared" si="45"/>
        <v>9.887</v>
      </c>
      <c r="H2440">
        <v>3</v>
      </c>
    </row>
    <row r="2441" spans="2:8">
      <c r="B2441" s="3">
        <v>45672</v>
      </c>
      <c r="C2441" t="s">
        <v>44</v>
      </c>
      <c r="D2441">
        <f>VLOOKUP(C2441,成本价!$C$2:$D$1000,2,0)*H2441</f>
        <v>1.985</v>
      </c>
      <c r="E2441">
        <v>7.72</v>
      </c>
      <c r="G2441">
        <f t="shared" si="45"/>
        <v>5.735</v>
      </c>
      <c r="H2441">
        <v>5</v>
      </c>
    </row>
    <row r="2442" spans="2:8">
      <c r="B2442" s="3">
        <v>45672</v>
      </c>
      <c r="C2442" t="s">
        <v>16</v>
      </c>
      <c r="D2442">
        <f>VLOOKUP(C2442,成本价!$C$2:$D$1000,2,0)*H2442</f>
        <v>13.5</v>
      </c>
      <c r="E2442">
        <v>27.4</v>
      </c>
      <c r="G2442">
        <f t="shared" si="45"/>
        <v>13.9</v>
      </c>
      <c r="H2442">
        <v>5</v>
      </c>
    </row>
    <row r="2443" spans="2:8">
      <c r="B2443" s="3">
        <v>45672</v>
      </c>
      <c r="C2443" t="s">
        <v>64</v>
      </c>
      <c r="D2443">
        <f>VLOOKUP(C2443,成本价!$C$2:$D$1000,2,0)*H2443</f>
        <v>6.38</v>
      </c>
      <c r="E2443">
        <v>18.31</v>
      </c>
      <c r="G2443">
        <f t="shared" si="45"/>
        <v>11.93</v>
      </c>
      <c r="H2443">
        <v>1</v>
      </c>
    </row>
    <row r="2444" spans="2:8">
      <c r="B2444" s="3">
        <v>45672</v>
      </c>
      <c r="C2444" t="s">
        <v>55</v>
      </c>
      <c r="D2444">
        <f>VLOOKUP(C2444,成本价!$C$2:$D$1000,2,0)*H2444</f>
        <v>1.171</v>
      </c>
      <c r="E2444">
        <v>7.59</v>
      </c>
      <c r="G2444">
        <f t="shared" si="45"/>
        <v>6.419</v>
      </c>
      <c r="H2444">
        <v>1</v>
      </c>
    </row>
    <row r="2445" spans="2:8">
      <c r="B2445" s="3">
        <v>45672</v>
      </c>
      <c r="C2445" t="s">
        <v>50</v>
      </c>
      <c r="D2445">
        <f>VLOOKUP(C2445,成本价!$C$2:$D$1000,2,0)*H2445</f>
        <v>2.749</v>
      </c>
      <c r="E2445">
        <v>11.6</v>
      </c>
      <c r="G2445">
        <f t="shared" si="45"/>
        <v>8.851</v>
      </c>
      <c r="H2445">
        <v>1</v>
      </c>
    </row>
    <row r="2446" spans="2:8">
      <c r="B2446" s="3">
        <v>45672</v>
      </c>
      <c r="C2446" t="s">
        <v>55</v>
      </c>
      <c r="D2446">
        <f>VLOOKUP(C2446,成本价!$C$2:$D$1000,2,0)*H2446</f>
        <v>1.171</v>
      </c>
      <c r="E2446">
        <v>7.59</v>
      </c>
      <c r="G2446">
        <f t="shared" si="45"/>
        <v>6.419</v>
      </c>
      <c r="H2446">
        <v>1</v>
      </c>
    </row>
    <row r="2447" spans="2:8">
      <c r="B2447" s="3">
        <v>45672</v>
      </c>
      <c r="C2447" t="s">
        <v>20</v>
      </c>
      <c r="D2447">
        <f>VLOOKUP(C2447,成本价!$C$2:$D$1000,2,0)*H2447</f>
        <v>9</v>
      </c>
      <c r="E2447">
        <v>17.2</v>
      </c>
      <c r="G2447">
        <f t="shared" si="45"/>
        <v>8.2</v>
      </c>
      <c r="H2447">
        <v>3</v>
      </c>
    </row>
    <row r="2448" spans="2:8">
      <c r="B2448" s="3">
        <v>45672</v>
      </c>
      <c r="C2448" t="s">
        <v>55</v>
      </c>
      <c r="D2448">
        <f>VLOOKUP(C2448,成本价!$C$2:$D$1000,2,0)*H2448</f>
        <v>1.171</v>
      </c>
      <c r="E2448">
        <v>7.59</v>
      </c>
      <c r="G2448">
        <f t="shared" si="45"/>
        <v>6.419</v>
      </c>
      <c r="H2448">
        <v>1</v>
      </c>
    </row>
    <row r="2449" spans="2:8">
      <c r="B2449" s="3">
        <v>45672</v>
      </c>
      <c r="C2449" t="s">
        <v>58</v>
      </c>
      <c r="D2449">
        <f>VLOOKUP(C2449,成本价!$C$2:$D$1000,2,0)*H2449</f>
        <v>8.4</v>
      </c>
      <c r="E2449">
        <v>17.16</v>
      </c>
      <c r="G2449">
        <f t="shared" si="45"/>
        <v>8.76</v>
      </c>
      <c r="H2449">
        <v>1</v>
      </c>
    </row>
    <row r="2450" spans="2:8">
      <c r="B2450" s="3">
        <v>45672</v>
      </c>
      <c r="C2450" t="s">
        <v>58</v>
      </c>
      <c r="D2450">
        <f>VLOOKUP(C2450,成本价!$C$2:$D$1000,2,0)*H2450</f>
        <v>8.4</v>
      </c>
      <c r="E2450">
        <v>17.16</v>
      </c>
      <c r="G2450">
        <f t="shared" si="45"/>
        <v>8.76</v>
      </c>
      <c r="H2450">
        <v>1</v>
      </c>
    </row>
    <row r="2451" spans="2:8">
      <c r="B2451" s="3">
        <v>45672</v>
      </c>
      <c r="C2451" t="s">
        <v>89</v>
      </c>
      <c r="D2451">
        <f>VLOOKUP(C2451,成本价!$C$2:$D$1000,2,0)*H2451</f>
        <v>5.92</v>
      </c>
      <c r="E2451">
        <v>17.3</v>
      </c>
      <c r="G2451">
        <f t="shared" si="45"/>
        <v>11.38</v>
      </c>
      <c r="H2451">
        <v>1</v>
      </c>
    </row>
    <row r="2452" spans="2:8">
      <c r="B2452" s="3">
        <v>45672</v>
      </c>
      <c r="C2452" t="s">
        <v>23</v>
      </c>
      <c r="D2452">
        <f>VLOOKUP(C2452,成本价!$C$2:$D$1000,2,0)*H2452</f>
        <v>2.08</v>
      </c>
      <c r="E2452">
        <v>6.86</v>
      </c>
      <c r="G2452">
        <f t="shared" si="45"/>
        <v>4.78</v>
      </c>
      <c r="H2452">
        <v>1</v>
      </c>
    </row>
    <row r="2453" spans="2:10">
      <c r="B2453" s="3">
        <v>45672</v>
      </c>
      <c r="C2453" t="s">
        <v>99</v>
      </c>
      <c r="D2453">
        <f>VLOOKUP(C2453,成本价!$C$2:$D$1000,2,0)*H2453</f>
        <v>7.2</v>
      </c>
      <c r="E2453">
        <v>19.32</v>
      </c>
      <c r="G2453">
        <f t="shared" si="45"/>
        <v>12.12</v>
      </c>
      <c r="H2453">
        <v>1</v>
      </c>
      <c r="J2453" s="2" t="s">
        <v>74</v>
      </c>
    </row>
    <row r="2454" spans="2:10">
      <c r="B2454" s="3">
        <v>45672</v>
      </c>
      <c r="C2454" t="s">
        <v>57</v>
      </c>
      <c r="D2454">
        <f>VLOOKUP(C2454,成本价!$C$2:$D$1000,2,0)*H2454</f>
        <v>17.8</v>
      </c>
      <c r="E2454">
        <v>56.98</v>
      </c>
      <c r="G2454">
        <f t="shared" si="45"/>
        <v>39.18</v>
      </c>
      <c r="H2454">
        <v>2</v>
      </c>
      <c r="J2454" s="2" t="s">
        <v>74</v>
      </c>
    </row>
    <row r="2455" spans="2:10">
      <c r="B2455" s="3">
        <v>45672</v>
      </c>
      <c r="C2455" t="s">
        <v>90</v>
      </c>
      <c r="D2455">
        <f>VLOOKUP(C2455,成本价!$C$2:$D$1000,2,0)*H2455</f>
        <v>5.2</v>
      </c>
      <c r="G2455">
        <f t="shared" si="45"/>
        <v>-5.2</v>
      </c>
      <c r="H2455">
        <v>2</v>
      </c>
      <c r="J2455" s="2" t="s">
        <v>74</v>
      </c>
    </row>
    <row r="2456" spans="2:10">
      <c r="B2456" s="3">
        <v>45672</v>
      </c>
      <c r="C2456" t="s">
        <v>20</v>
      </c>
      <c r="D2456">
        <f>VLOOKUP(C2456,成本价!$C$2:$D$1000,2,0)*H2456</f>
        <v>9</v>
      </c>
      <c r="E2456">
        <v>22.75</v>
      </c>
      <c r="G2456">
        <f t="shared" si="45"/>
        <v>13.75</v>
      </c>
      <c r="H2456">
        <v>3</v>
      </c>
      <c r="J2456" s="2" t="s">
        <v>74</v>
      </c>
    </row>
    <row r="2457" spans="2:9">
      <c r="B2457" s="3"/>
      <c r="F2457">
        <f>49*3.8</f>
        <v>186.2</v>
      </c>
      <c r="I2457">
        <v>143.61</v>
      </c>
    </row>
    <row r="2458" spans="2:8">
      <c r="B2458" s="3">
        <v>45673</v>
      </c>
      <c r="C2458" t="s">
        <v>87</v>
      </c>
      <c r="D2458">
        <f>VLOOKUP(C2458,成本价!$C$2:$D$1000,2,0)*H2458</f>
        <v>25.1175</v>
      </c>
      <c r="E2458">
        <f>6.81+6.81+6.81+6.81+13.78+6.81+6.81+6.81+13.78+21.8+6.81+6.81+6.81+6.81+13.78+6.9+6.81+10.9+13.78+7.98+6.81+13.78+6.42+6.81+10.9+13.78+6.81+7.98+7.98+16.35+6.81+7.98+13.78+6.81+5.45+5.45+5.45+5.45+23.65+13.78+6.81+6.81</f>
        <v>390.27</v>
      </c>
      <c r="G2458">
        <f t="shared" si="45"/>
        <v>365.1525</v>
      </c>
      <c r="H2458">
        <f>8+30+9+9+9+4+3+9+9+6+8+9+9+6+4+9+4+9+9+4+9+4+4+7+6</f>
        <v>197</v>
      </c>
    </row>
    <row r="2459" spans="2:8">
      <c r="B2459" s="3">
        <v>45673</v>
      </c>
      <c r="C2459" t="s">
        <v>88</v>
      </c>
      <c r="D2459">
        <f>VLOOKUP(C2459,成本价!$C$2:$D$1000,2,0)*H2459</f>
        <v>25.11</v>
      </c>
      <c r="G2459">
        <f t="shared" si="45"/>
        <v>-25.11</v>
      </c>
      <c r="H2459">
        <f>3+2+16+9+16+16+9+16+3+16+3+12+3+3+3+9+16+9+10+12</f>
        <v>186</v>
      </c>
    </row>
    <row r="2460" spans="2:8">
      <c r="B2460" s="3">
        <v>45673</v>
      </c>
      <c r="C2460" t="s">
        <v>109</v>
      </c>
      <c r="D2460">
        <f>VLOOKUP(C2460,成本价!$C$2:$D$1000,2,0)*H2460</f>
        <v>18.45</v>
      </c>
      <c r="G2460">
        <f t="shared" si="45"/>
        <v>-18.45</v>
      </c>
      <c r="H2460">
        <v>20</v>
      </c>
    </row>
    <row r="2461" spans="2:8">
      <c r="B2461" s="3">
        <v>45673</v>
      </c>
      <c r="C2461" t="s">
        <v>58</v>
      </c>
      <c r="D2461">
        <f>VLOOKUP(C2461,成本价!$C$2:$D$1000,2,0)*H2461</f>
        <v>8.4</v>
      </c>
      <c r="E2461">
        <v>17.16</v>
      </c>
      <c r="G2461">
        <f t="shared" si="45"/>
        <v>8.76</v>
      </c>
      <c r="H2461">
        <v>1</v>
      </c>
    </row>
    <row r="2462" spans="2:8">
      <c r="B2462" s="3">
        <v>45673</v>
      </c>
      <c r="C2462" t="s">
        <v>58</v>
      </c>
      <c r="D2462">
        <f>VLOOKUP(C2462,成本价!$C$2:$D$1000,2,0)*H2462</f>
        <v>8.4</v>
      </c>
      <c r="E2462">
        <v>17.16</v>
      </c>
      <c r="G2462">
        <f t="shared" si="45"/>
        <v>8.76</v>
      </c>
      <c r="H2462">
        <v>1</v>
      </c>
    </row>
    <row r="2463" spans="2:8">
      <c r="B2463" s="3">
        <v>45673</v>
      </c>
      <c r="C2463" t="s">
        <v>50</v>
      </c>
      <c r="D2463">
        <f>VLOOKUP(C2463,成本价!$C$2:$D$1000,2,0)*H2463</f>
        <v>5.498</v>
      </c>
      <c r="E2463">
        <f>10.86*2</f>
        <v>21.72</v>
      </c>
      <c r="G2463">
        <f t="shared" si="45"/>
        <v>16.222</v>
      </c>
      <c r="H2463">
        <v>2</v>
      </c>
    </row>
    <row r="2464" spans="2:8">
      <c r="B2464" s="3">
        <v>45673</v>
      </c>
      <c r="C2464" t="s">
        <v>52</v>
      </c>
      <c r="D2464">
        <f>VLOOKUP(C2464,成本价!$C$2:$D$1000,2,0)*H2464</f>
        <v>10.96</v>
      </c>
      <c r="E2464">
        <v>32.93</v>
      </c>
      <c r="G2464">
        <f t="shared" si="45"/>
        <v>21.97</v>
      </c>
      <c r="H2464">
        <v>1</v>
      </c>
    </row>
    <row r="2465" spans="2:8">
      <c r="B2465" s="3">
        <v>45673</v>
      </c>
      <c r="C2465" t="s">
        <v>92</v>
      </c>
      <c r="D2465">
        <f>VLOOKUP(C2465,成本价!$C$2:$D$1000,2,0)*H2465</f>
        <v>3</v>
      </c>
      <c r="G2465">
        <f t="shared" si="45"/>
        <v>-3</v>
      </c>
      <c r="H2465">
        <v>1</v>
      </c>
    </row>
    <row r="2466" spans="2:8">
      <c r="B2466" s="3">
        <v>45673</v>
      </c>
      <c r="C2466" t="s">
        <v>65</v>
      </c>
      <c r="D2466">
        <f>VLOOKUP(C2466,成本价!$C$2:$D$1000,2,0)*H2466</f>
        <v>5.3</v>
      </c>
      <c r="E2466">
        <v>19.01</v>
      </c>
      <c r="G2466">
        <f t="shared" si="45"/>
        <v>13.71</v>
      </c>
      <c r="H2466">
        <v>1</v>
      </c>
    </row>
    <row r="2467" spans="2:8">
      <c r="B2467" s="3">
        <v>45673</v>
      </c>
      <c r="C2467" t="s">
        <v>55</v>
      </c>
      <c r="D2467">
        <f>VLOOKUP(C2467,成本价!$C$2:$D$1000,2,0)*H2467</f>
        <v>1.171</v>
      </c>
      <c r="E2467">
        <v>8.01</v>
      </c>
      <c r="G2467">
        <f t="shared" si="45"/>
        <v>6.839</v>
      </c>
      <c r="H2467">
        <v>1</v>
      </c>
    </row>
    <row r="2468" spans="2:8">
      <c r="B2468" s="3">
        <v>45673</v>
      </c>
      <c r="C2468" t="s">
        <v>16</v>
      </c>
      <c r="D2468">
        <f>VLOOKUP(C2468,成本价!$C$2:$D$1000,2,0)*H2468</f>
        <v>10.8</v>
      </c>
      <c r="E2468">
        <v>27.4</v>
      </c>
      <c r="G2468">
        <f t="shared" si="45"/>
        <v>16.6</v>
      </c>
      <c r="H2468">
        <v>4</v>
      </c>
    </row>
    <row r="2469" spans="2:8">
      <c r="B2469" s="3">
        <v>45673</v>
      </c>
      <c r="C2469" t="s">
        <v>20</v>
      </c>
      <c r="D2469">
        <f>VLOOKUP(C2469,成本价!$C$2:$D$1000,2,0)*H2469</f>
        <v>3</v>
      </c>
      <c r="G2469">
        <f t="shared" si="45"/>
        <v>-3</v>
      </c>
      <c r="H2469">
        <v>1</v>
      </c>
    </row>
    <row r="2470" spans="2:8">
      <c r="B2470" s="3">
        <v>45673</v>
      </c>
      <c r="C2470" t="s">
        <v>61</v>
      </c>
      <c r="D2470">
        <f>VLOOKUP(C2470,成本价!$C$2:$D$1000,2,0)*H2470</f>
        <v>20.1</v>
      </c>
      <c r="E2470">
        <v>37.44</v>
      </c>
      <c r="G2470">
        <f t="shared" si="45"/>
        <v>17.34</v>
      </c>
      <c r="H2470">
        <v>1</v>
      </c>
    </row>
    <row r="2471" spans="2:8">
      <c r="B2471" s="3">
        <v>45673</v>
      </c>
      <c r="C2471" t="s">
        <v>93</v>
      </c>
      <c r="D2471">
        <f>VLOOKUP(C2471,成本价!$C$2:$D$1000,2,0)*H2471</f>
        <v>4.77</v>
      </c>
      <c r="E2471">
        <v>13.97</v>
      </c>
      <c r="G2471">
        <f t="shared" si="45"/>
        <v>9.2</v>
      </c>
      <c r="H2471">
        <v>1</v>
      </c>
    </row>
    <row r="2472" spans="2:8">
      <c r="B2472" s="3">
        <v>45673</v>
      </c>
      <c r="C2472" t="s">
        <v>80</v>
      </c>
      <c r="D2472">
        <f>VLOOKUP(C2472,成本价!$C$2:$D$1000,2,0)*H2472</f>
        <v>8.1</v>
      </c>
      <c r="E2472">
        <v>17.16</v>
      </c>
      <c r="G2472">
        <f t="shared" ref="G2472:G2510" si="46">E2472-D2472</f>
        <v>9.06</v>
      </c>
      <c r="H2472">
        <v>1</v>
      </c>
    </row>
    <row r="2473" spans="2:8">
      <c r="B2473" s="3">
        <v>45673</v>
      </c>
      <c r="C2473" t="s">
        <v>40</v>
      </c>
      <c r="D2473">
        <f>VLOOKUP(C2473,成本价!$C$2:$D$1000,2,0)*H2473</f>
        <v>2.82</v>
      </c>
      <c r="E2473">
        <v>6.9</v>
      </c>
      <c r="G2473">
        <f t="shared" si="46"/>
        <v>4.08</v>
      </c>
      <c r="H2473">
        <v>1.5</v>
      </c>
    </row>
    <row r="2474" spans="2:8">
      <c r="B2474" s="3">
        <v>45673</v>
      </c>
      <c r="C2474" t="s">
        <v>16</v>
      </c>
      <c r="D2474">
        <f>VLOOKUP(C2474,成本价!$C$2:$D$1000,2,0)*H2474</f>
        <v>8.1</v>
      </c>
      <c r="E2474">
        <v>27.4</v>
      </c>
      <c r="G2474">
        <f t="shared" si="46"/>
        <v>19.3</v>
      </c>
      <c r="H2474">
        <v>3</v>
      </c>
    </row>
    <row r="2475" spans="2:8">
      <c r="B2475" s="3">
        <v>45673</v>
      </c>
      <c r="C2475" t="s">
        <v>20</v>
      </c>
      <c r="D2475">
        <f>VLOOKUP(C2475,成本价!$C$2:$D$1000,2,0)*H2475</f>
        <v>6</v>
      </c>
      <c r="G2475">
        <f t="shared" si="46"/>
        <v>-6</v>
      </c>
      <c r="H2475">
        <v>2</v>
      </c>
    </row>
    <row r="2476" spans="2:8">
      <c r="B2476" s="3">
        <v>45673</v>
      </c>
      <c r="C2476" t="s">
        <v>61</v>
      </c>
      <c r="D2476">
        <f>VLOOKUP(C2476,成本价!$C$2:$D$1000,2,0)*H2476</f>
        <v>20.1</v>
      </c>
      <c r="E2476">
        <v>37.44</v>
      </c>
      <c r="G2476">
        <f t="shared" si="46"/>
        <v>17.34</v>
      </c>
      <c r="H2476">
        <v>1</v>
      </c>
    </row>
    <row r="2477" spans="2:8">
      <c r="B2477" s="3">
        <v>45673</v>
      </c>
      <c r="C2477" t="s">
        <v>50</v>
      </c>
      <c r="D2477">
        <f>VLOOKUP(C2477,成本价!$C$2:$D$1000,2,0)*H2477</f>
        <v>2.749</v>
      </c>
      <c r="E2477">
        <v>9.98</v>
      </c>
      <c r="G2477">
        <f t="shared" si="46"/>
        <v>7.231</v>
      </c>
      <c r="H2477">
        <v>1</v>
      </c>
    </row>
    <row r="2478" spans="2:8">
      <c r="B2478" s="3">
        <v>45673</v>
      </c>
      <c r="C2478" t="s">
        <v>61</v>
      </c>
      <c r="D2478">
        <f>VLOOKUP(C2478,成本价!$C$2:$D$1000,2,0)*H2478</f>
        <v>20.1</v>
      </c>
      <c r="E2478">
        <v>37.44</v>
      </c>
      <c r="G2478">
        <f t="shared" si="46"/>
        <v>17.34</v>
      </c>
      <c r="H2478">
        <v>1</v>
      </c>
    </row>
    <row r="2479" spans="2:8">
      <c r="B2479" s="3">
        <v>45673</v>
      </c>
      <c r="C2479" t="s">
        <v>75</v>
      </c>
      <c r="D2479">
        <f>VLOOKUP(C2479,成本价!$C$2:$D$1000,2,0)*H2479</f>
        <v>15.12</v>
      </c>
      <c r="E2479">
        <v>49.11</v>
      </c>
      <c r="G2479">
        <f t="shared" si="46"/>
        <v>33.99</v>
      </c>
      <c r="H2479">
        <v>1</v>
      </c>
    </row>
    <row r="2480" spans="2:8">
      <c r="B2480" s="3">
        <v>45673</v>
      </c>
      <c r="C2480" t="s">
        <v>92</v>
      </c>
      <c r="D2480">
        <f>VLOOKUP(C2480,成本价!$C$2:$D$1000,2,0)*H2480</f>
        <v>3</v>
      </c>
      <c r="G2480">
        <f t="shared" si="46"/>
        <v>-3</v>
      </c>
      <c r="H2480">
        <v>1</v>
      </c>
    </row>
    <row r="2481" spans="2:8">
      <c r="B2481" s="3">
        <v>45673</v>
      </c>
      <c r="C2481" s="2" t="s">
        <v>55</v>
      </c>
      <c r="D2481">
        <f>VLOOKUP(C2481,成本价!$C$2:$D$1000,2,0)*H2481</f>
        <v>3.513</v>
      </c>
      <c r="E2481">
        <v>13.4</v>
      </c>
      <c r="G2481">
        <f t="shared" si="46"/>
        <v>9.887</v>
      </c>
      <c r="H2481">
        <v>3</v>
      </c>
    </row>
    <row r="2482" spans="2:8">
      <c r="B2482" s="3">
        <v>45673</v>
      </c>
      <c r="C2482" t="s">
        <v>40</v>
      </c>
      <c r="D2482">
        <f>VLOOKUP(C2482,成本价!$C$2:$D$1000,2,0)*H2482</f>
        <v>1.88</v>
      </c>
      <c r="E2482">
        <v>7.72</v>
      </c>
      <c r="G2482">
        <f t="shared" si="46"/>
        <v>5.84</v>
      </c>
      <c r="H2482">
        <v>1</v>
      </c>
    </row>
    <row r="2483" spans="2:8">
      <c r="B2483" s="3">
        <v>45673</v>
      </c>
      <c r="C2483" t="s">
        <v>97</v>
      </c>
      <c r="D2483">
        <f>VLOOKUP(C2483,成本价!$C$2:$D$1000,2,0)*H2483</f>
        <v>4.5</v>
      </c>
      <c r="E2483">
        <v>12.38</v>
      </c>
      <c r="G2483">
        <f t="shared" si="46"/>
        <v>7.88</v>
      </c>
      <c r="H2483">
        <v>1</v>
      </c>
    </row>
    <row r="2484" spans="2:8">
      <c r="B2484" s="3">
        <v>45673</v>
      </c>
      <c r="C2484" t="s">
        <v>37</v>
      </c>
      <c r="D2484">
        <f>VLOOKUP(C2484,成本价!$C$2:$D$1000,2,0)*H2484</f>
        <v>3.81</v>
      </c>
      <c r="E2484">
        <v>6.9</v>
      </c>
      <c r="G2484">
        <f t="shared" si="46"/>
        <v>3.09</v>
      </c>
      <c r="H2484">
        <v>1.5</v>
      </c>
    </row>
    <row r="2485" spans="2:8">
      <c r="B2485" s="3">
        <v>45673</v>
      </c>
      <c r="C2485" t="s">
        <v>54</v>
      </c>
      <c r="D2485">
        <f>VLOOKUP(C2485,成本价!$C$2:$D$1000,2,0)*H2485</f>
        <v>14.7</v>
      </c>
      <c r="E2485">
        <v>27.97</v>
      </c>
      <c r="G2485">
        <f t="shared" si="46"/>
        <v>13.27</v>
      </c>
      <c r="H2485">
        <v>1</v>
      </c>
    </row>
    <row r="2486" spans="2:8">
      <c r="B2486" s="3">
        <v>45673</v>
      </c>
      <c r="C2486" t="s">
        <v>106</v>
      </c>
      <c r="D2486">
        <f>VLOOKUP(C2486,成本价!$C$2:$D$1000,2,0)*H2486</f>
        <v>5.4</v>
      </c>
      <c r="E2486">
        <v>19.02</v>
      </c>
      <c r="G2486">
        <f t="shared" si="46"/>
        <v>13.62</v>
      </c>
      <c r="H2486">
        <v>1</v>
      </c>
    </row>
    <row r="2487" spans="2:8">
      <c r="B2487" s="3">
        <v>45673</v>
      </c>
      <c r="C2487" t="s">
        <v>96</v>
      </c>
      <c r="D2487">
        <f>VLOOKUP(C2487,成本价!$C$2:$D$1000,2,0)*H2487</f>
        <v>5.1</v>
      </c>
      <c r="E2487">
        <v>11.96</v>
      </c>
      <c r="G2487">
        <f t="shared" si="46"/>
        <v>6.86</v>
      </c>
      <c r="H2487">
        <v>1</v>
      </c>
    </row>
    <row r="2488" spans="2:8">
      <c r="B2488" s="3">
        <v>45673</v>
      </c>
      <c r="C2488" t="s">
        <v>58</v>
      </c>
      <c r="D2488">
        <f>VLOOKUP(C2488,成本价!$C$2:$D$1000,2,0)*H2488</f>
        <v>8.4</v>
      </c>
      <c r="E2488">
        <v>17.16</v>
      </c>
      <c r="G2488">
        <f t="shared" si="46"/>
        <v>8.76</v>
      </c>
      <c r="H2488">
        <v>1</v>
      </c>
    </row>
    <row r="2489" spans="2:9">
      <c r="B2489" s="3">
        <v>45673</v>
      </c>
      <c r="F2489">
        <f>61*3.8</f>
        <v>231.8</v>
      </c>
      <c r="I2489">
        <v>274.86</v>
      </c>
    </row>
    <row r="2490" spans="2:8">
      <c r="B2490" s="3">
        <v>45674</v>
      </c>
      <c r="C2490" t="s">
        <v>87</v>
      </c>
      <c r="D2490">
        <f>VLOOKUP(C2490,成本价!$C$2:$D$1000,2,0)*H2490</f>
        <v>15.1725</v>
      </c>
      <c r="E2490">
        <f>7.97+13.76+13.76+6.8+6.8+6.81+6.81+7.59+13.78+6.81+6.81+7.98+7.98+6.81+6.81+6.81+6.81+13.78+6.81+10.9+6.81+6.81+7.98+6.81+7.98</f>
        <v>208.78</v>
      </c>
      <c r="G2490">
        <f t="shared" si="46"/>
        <v>193.6075</v>
      </c>
      <c r="H2490">
        <f>3+3+9+4+18+9+4+5+6+6+3+9+8+9+12+8+3</f>
        <v>119</v>
      </c>
    </row>
    <row r="2491" spans="2:8">
      <c r="B2491" s="3">
        <v>45674</v>
      </c>
      <c r="C2491" t="s">
        <v>88</v>
      </c>
      <c r="D2491">
        <f>VLOOKUP(C2491,成本价!$C$2:$D$1000,2,0)*H2491</f>
        <v>14.58</v>
      </c>
      <c r="G2491">
        <f t="shared" si="46"/>
        <v>-14.58</v>
      </c>
      <c r="H2491">
        <f>9+12+8+9+12+3+9+3+4+16+2+3+9+9</f>
        <v>108</v>
      </c>
    </row>
    <row r="2492" spans="2:8">
      <c r="B2492" s="3">
        <v>45674</v>
      </c>
      <c r="C2492" t="s">
        <v>109</v>
      </c>
      <c r="D2492">
        <f>VLOOKUP(C2492,成本价!$C$2:$D$1000,2,0)*H2492</f>
        <v>6.4575</v>
      </c>
      <c r="G2492">
        <f t="shared" si="46"/>
        <v>-6.4575</v>
      </c>
      <c r="H2492">
        <f>1+1+1+1+1+1+1</f>
        <v>7</v>
      </c>
    </row>
    <row r="2493" spans="2:8">
      <c r="B2493" s="3">
        <v>45674</v>
      </c>
      <c r="C2493" t="s">
        <v>61</v>
      </c>
      <c r="D2493">
        <f>VLOOKUP(C2493,成本价!$C$2:$D$1000,2,0)*H2493</f>
        <v>20.1</v>
      </c>
      <c r="E2493">
        <v>36.51</v>
      </c>
      <c r="G2493">
        <f t="shared" si="46"/>
        <v>16.41</v>
      </c>
      <c r="H2493">
        <v>1</v>
      </c>
    </row>
    <row r="2494" spans="2:8">
      <c r="B2494" s="3">
        <v>45674</v>
      </c>
      <c r="C2494" t="s">
        <v>64</v>
      </c>
      <c r="D2494">
        <f>VLOOKUP(C2494,成本价!$C$2:$D$1000,2,0)*H2494</f>
        <v>6.38</v>
      </c>
      <c r="E2494">
        <v>18.31</v>
      </c>
      <c r="G2494">
        <f t="shared" si="46"/>
        <v>11.93</v>
      </c>
      <c r="H2494">
        <v>1</v>
      </c>
    </row>
    <row r="2495" spans="2:8">
      <c r="B2495" s="3">
        <v>45674</v>
      </c>
      <c r="C2495" t="s">
        <v>54</v>
      </c>
      <c r="D2495">
        <f>VLOOKUP(C2495,成本价!$C$2:$D$1000,2,0)*H2495</f>
        <v>14.7</v>
      </c>
      <c r="E2495">
        <v>26.51</v>
      </c>
      <c r="G2495">
        <f t="shared" si="46"/>
        <v>11.81</v>
      </c>
      <c r="H2495">
        <v>1</v>
      </c>
    </row>
    <row r="2496" spans="2:8">
      <c r="B2496" s="3">
        <v>45674</v>
      </c>
      <c r="C2496" t="s">
        <v>58</v>
      </c>
      <c r="D2496">
        <f>VLOOKUP(C2496,成本价!$C$2:$D$1000,2,0)*H2496</f>
        <v>8.4</v>
      </c>
      <c r="E2496">
        <v>17.16</v>
      </c>
      <c r="G2496">
        <f t="shared" si="46"/>
        <v>8.76</v>
      </c>
      <c r="H2496">
        <v>1</v>
      </c>
    </row>
    <row r="2497" spans="2:8">
      <c r="B2497" s="3">
        <v>45674</v>
      </c>
      <c r="C2497" t="s">
        <v>49</v>
      </c>
      <c r="D2497">
        <f>VLOOKUP(C2497,成本价!$C$2:$D$1000,2,0)*H2497</f>
        <v>1.975</v>
      </c>
      <c r="E2497">
        <v>9.48</v>
      </c>
      <c r="G2497">
        <f t="shared" si="46"/>
        <v>7.505</v>
      </c>
      <c r="H2497">
        <v>1</v>
      </c>
    </row>
    <row r="2498" spans="2:8">
      <c r="B2498" s="3">
        <v>45674</v>
      </c>
      <c r="C2498" t="s">
        <v>40</v>
      </c>
      <c r="D2498">
        <f>VLOOKUP(C2498,成本价!$C$2:$D$1000,2,0)*H2498</f>
        <v>1.88</v>
      </c>
      <c r="E2498">
        <f>5.82+6.49</f>
        <v>12.31</v>
      </c>
      <c r="G2498">
        <f t="shared" si="46"/>
        <v>10.43</v>
      </c>
      <c r="H2498">
        <v>1</v>
      </c>
    </row>
    <row r="2499" spans="2:8">
      <c r="B2499" s="3">
        <v>45674</v>
      </c>
      <c r="C2499" t="s">
        <v>71</v>
      </c>
      <c r="D2499">
        <f>VLOOKUP(C2499,成本价!$C$2:$D$1000,2,0)*H2499</f>
        <v>1.191</v>
      </c>
      <c r="E2499">
        <v>13.5</v>
      </c>
      <c r="G2499">
        <f t="shared" si="46"/>
        <v>12.309</v>
      </c>
      <c r="H2499">
        <v>1</v>
      </c>
    </row>
    <row r="2500" spans="2:8">
      <c r="B2500" s="3">
        <v>45674</v>
      </c>
      <c r="C2500" t="s">
        <v>50</v>
      </c>
      <c r="D2500">
        <f>VLOOKUP(C2500,成本价!$C$2:$D$1000,2,0)*H2500</f>
        <v>2.749</v>
      </c>
      <c r="E2500">
        <v>9.59</v>
      </c>
      <c r="G2500">
        <f t="shared" si="46"/>
        <v>6.841</v>
      </c>
      <c r="H2500">
        <v>1</v>
      </c>
    </row>
    <row r="2501" spans="2:8">
      <c r="B2501" s="3">
        <v>45674</v>
      </c>
      <c r="C2501" t="s">
        <v>16</v>
      </c>
      <c r="D2501">
        <f>VLOOKUP(C2501,成本价!$C$2:$D$1000,2,0)*H2501</f>
        <v>10.8</v>
      </c>
      <c r="E2501">
        <v>27.33</v>
      </c>
      <c r="G2501">
        <f t="shared" si="46"/>
        <v>16.53</v>
      </c>
      <c r="H2501">
        <v>4</v>
      </c>
    </row>
    <row r="2502" spans="2:8">
      <c r="B2502" s="3">
        <v>45674</v>
      </c>
      <c r="C2502" t="s">
        <v>20</v>
      </c>
      <c r="D2502">
        <f>VLOOKUP(C2502,成本价!$C$2:$D$1000,2,0)*H2502</f>
        <v>3</v>
      </c>
      <c r="G2502">
        <f t="shared" si="46"/>
        <v>-3</v>
      </c>
      <c r="H2502">
        <v>1</v>
      </c>
    </row>
    <row r="2503" spans="2:8">
      <c r="B2503" s="3">
        <v>45674</v>
      </c>
      <c r="C2503" t="s">
        <v>33</v>
      </c>
      <c r="D2503">
        <f>VLOOKUP(C2503,成本价!$C$2:$D$1000,2,0)*H2503</f>
        <v>2.55</v>
      </c>
      <c r="E2503">
        <v>5.82</v>
      </c>
      <c r="G2503">
        <f t="shared" si="46"/>
        <v>3.27</v>
      </c>
      <c r="H2503">
        <v>1.5</v>
      </c>
    </row>
    <row r="2504" spans="2:8">
      <c r="B2504" s="3">
        <v>45674</v>
      </c>
      <c r="C2504" t="s">
        <v>94</v>
      </c>
      <c r="D2504">
        <f>VLOOKUP(C2504,成本价!$C$2:$D$1000,2,0)*H2504</f>
        <v>3.9</v>
      </c>
      <c r="E2504">
        <v>10.81</v>
      </c>
      <c r="G2504">
        <f t="shared" si="46"/>
        <v>6.91</v>
      </c>
      <c r="H2504">
        <v>1</v>
      </c>
    </row>
    <row r="2505" spans="2:8">
      <c r="B2505" s="3">
        <v>45674</v>
      </c>
      <c r="C2505" t="s">
        <v>59</v>
      </c>
      <c r="D2505">
        <f>VLOOKUP(C2505,成本价!$C$2:$D$1000,2,0)*H2505</f>
        <v>8.7</v>
      </c>
      <c r="E2505">
        <v>30.92</v>
      </c>
      <c r="G2505">
        <f t="shared" si="46"/>
        <v>22.22</v>
      </c>
      <c r="H2505">
        <v>1</v>
      </c>
    </row>
    <row r="2506" spans="2:8">
      <c r="B2506" s="3">
        <v>45674</v>
      </c>
      <c r="C2506" t="s">
        <v>90</v>
      </c>
      <c r="D2506">
        <f>VLOOKUP(C2506,成本价!$C$2:$D$1000,2,0)*H2506</f>
        <v>2.6</v>
      </c>
      <c r="G2506">
        <f t="shared" si="46"/>
        <v>-2.6</v>
      </c>
      <c r="H2506">
        <v>1</v>
      </c>
    </row>
    <row r="2507" spans="2:8">
      <c r="B2507" s="3">
        <v>45674</v>
      </c>
      <c r="C2507" t="s">
        <v>37</v>
      </c>
      <c r="D2507">
        <f>VLOOKUP(C2507,成本价!$C$2:$D$1000,2,0)*H2507</f>
        <v>3.81</v>
      </c>
      <c r="E2507">
        <v>6.9</v>
      </c>
      <c r="G2507">
        <f t="shared" si="46"/>
        <v>3.09</v>
      </c>
      <c r="H2507">
        <v>1.5</v>
      </c>
    </row>
    <row r="2508" spans="2:8">
      <c r="B2508" s="3">
        <v>45674</v>
      </c>
      <c r="C2508" t="s">
        <v>57</v>
      </c>
      <c r="D2508">
        <f>VLOOKUP(C2508,成本价!$C$2:$D$1000,2,0)*H2508</f>
        <v>8.9</v>
      </c>
      <c r="E2508">
        <v>29.9</v>
      </c>
      <c r="G2508">
        <f t="shared" si="46"/>
        <v>21</v>
      </c>
      <c r="H2508">
        <v>1</v>
      </c>
    </row>
    <row r="2509" spans="2:8">
      <c r="B2509" s="3">
        <v>45674</v>
      </c>
      <c r="C2509" t="s">
        <v>90</v>
      </c>
      <c r="D2509">
        <f>VLOOKUP(C2509,成本价!$C$2:$D$1000,2,0)*H2509</f>
        <v>2.6</v>
      </c>
      <c r="G2509">
        <f t="shared" si="46"/>
        <v>-2.6</v>
      </c>
      <c r="H2509">
        <v>1</v>
      </c>
    </row>
    <row r="2510" spans="2:10">
      <c r="B2510" s="3">
        <v>45674</v>
      </c>
      <c r="C2510" t="s">
        <v>54</v>
      </c>
      <c r="D2510">
        <f>VLOOKUP(C2510,成本价!$C$2:$D$1000,2,0)*H2510</f>
        <v>14.7</v>
      </c>
      <c r="E2510">
        <v>29.88</v>
      </c>
      <c r="G2510">
        <f t="shared" si="46"/>
        <v>15.18</v>
      </c>
      <c r="H2510">
        <v>1</v>
      </c>
      <c r="J2510" s="2" t="s">
        <v>74</v>
      </c>
    </row>
    <row r="2511" spans="6:9">
      <c r="F2511">
        <f>37*3.8</f>
        <v>140.6</v>
      </c>
      <c r="I2511">
        <v>123.3</v>
      </c>
    </row>
  </sheetData>
  <conditionalFormatting sqref="O5">
    <cfRule type="cellIs" dxfId="0" priority="4" operator="greaterThan">
      <formula>$O$3</formula>
    </cfRule>
    <cfRule type="cellIs" dxfId="1" priority="5" operator="between">
      <formula>$O$2</formula>
      <formula>$O$3</formula>
    </cfRule>
    <cfRule type="cellIs" dxfId="2" priority="7" operator="lessThan">
      <formula>$O$2</formula>
    </cfRule>
  </conditionalFormatting>
  <conditionalFormatting sqref="R2:R4">
    <cfRule type="cellIs" dxfId="2" priority="1" operator="greaterThanOrEqual">
      <formula>0</formula>
    </cfRule>
    <cfRule type="cellIs" dxfId="3" priority="2" operator="lessThan">
      <formula>0</formula>
    </cfRule>
  </conditionalFormatting>
  <dataValidations count="4">
    <dataValidation type="list" allowBlank="1" showInputMessage="1" showErrorMessage="1" sqref="C556 C586 C2:C530 C4608:C1048576">
      <formula1>成本价!$C$2:$C$16</formula1>
    </dataValidation>
    <dataValidation type="list" allowBlank="1" showInputMessage="1" showErrorMessage="1" sqref="C531:C555 C557:C585 C587:C759 C765:C768">
      <formula1>成本价!$C$2:$C$59</formula1>
    </dataValidation>
    <dataValidation type="list" allowBlank="1" showInputMessage="1" showErrorMessage="1" sqref="C760:C764 C769:C1167">
      <formula1>成本价!$C$2:$C$82</formula1>
    </dataValidation>
    <dataValidation type="list" allowBlank="1" showInputMessage="1" showErrorMessage="1" sqref="C1168:C4607">
      <formula1>成本价!$C:$C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7"/>
  <sheetViews>
    <sheetView workbookViewId="0">
      <pane ySplit="1" topLeftCell="A72" activePane="bottomLeft" state="frozen"/>
      <selection/>
      <selection pane="bottomLeft" activeCell="D92" sqref="D92"/>
    </sheetView>
  </sheetViews>
  <sheetFormatPr defaultColWidth="9" defaultRowHeight="14"/>
  <cols>
    <col min="1" max="1" width="9.55454545454545" customWidth="1"/>
  </cols>
  <sheetData>
    <row r="1" spans="1:8">
      <c r="A1" s="2" t="s">
        <v>1</v>
      </c>
      <c r="B1" s="2" t="s">
        <v>116</v>
      </c>
      <c r="C1" s="2" t="s">
        <v>8</v>
      </c>
      <c r="D1" s="2" t="s">
        <v>117</v>
      </c>
      <c r="E1" s="2" t="s">
        <v>41</v>
      </c>
      <c r="F1" s="2" t="s">
        <v>118</v>
      </c>
      <c r="G1" s="2" t="s">
        <v>119</v>
      </c>
      <c r="H1" s="2" t="s">
        <v>120</v>
      </c>
    </row>
    <row r="2" spans="1:7">
      <c r="A2" s="3">
        <v>45586</v>
      </c>
      <c r="B2">
        <f>69.98-6.78</f>
        <v>63.2</v>
      </c>
      <c r="C2">
        <v>23.39</v>
      </c>
      <c r="D2" s="15">
        <f t="shared" ref="D2:D26" si="0">B2/C2</f>
        <v>2.70200940572894</v>
      </c>
      <c r="E2" s="15"/>
      <c r="F2" s="15"/>
      <c r="G2" s="15"/>
    </row>
    <row r="3" spans="1:7">
      <c r="A3" s="3">
        <v>45587</v>
      </c>
      <c r="B3">
        <f>155.45-4.36</f>
        <v>151.09</v>
      </c>
      <c r="C3">
        <v>40.74</v>
      </c>
      <c r="D3" s="15">
        <f t="shared" si="0"/>
        <v>3.70864015709376</v>
      </c>
      <c r="E3" s="15"/>
      <c r="F3" s="15"/>
      <c r="G3" s="15"/>
    </row>
    <row r="4" spans="1:7">
      <c r="A4" s="3">
        <v>45588</v>
      </c>
      <c r="B4">
        <f>199.01</f>
        <v>199.01</v>
      </c>
      <c r="C4">
        <v>65.24</v>
      </c>
      <c r="D4" s="15">
        <f t="shared" si="0"/>
        <v>3.05042918454936</v>
      </c>
      <c r="E4" s="15"/>
      <c r="F4" s="15"/>
      <c r="G4" s="15"/>
    </row>
    <row r="5" spans="1:7">
      <c r="A5" s="3">
        <v>45589</v>
      </c>
      <c r="B5">
        <f>169.5-14.64</f>
        <v>154.86</v>
      </c>
      <c r="C5">
        <v>48.91</v>
      </c>
      <c r="D5" s="15">
        <f t="shared" si="0"/>
        <v>3.16622367613985</v>
      </c>
      <c r="E5" s="15"/>
      <c r="F5" s="15"/>
      <c r="G5" s="15"/>
    </row>
    <row r="6" spans="1:7">
      <c r="A6" s="3">
        <v>45590</v>
      </c>
      <c r="B6">
        <f>-21.85+138.34</f>
        <v>116.49</v>
      </c>
      <c r="C6">
        <v>44.96</v>
      </c>
      <c r="D6" s="15">
        <f t="shared" si="0"/>
        <v>2.59096975088968</v>
      </c>
      <c r="E6" s="15"/>
      <c r="F6" s="15"/>
      <c r="G6" s="15"/>
    </row>
    <row r="7" spans="1:7">
      <c r="A7" s="3">
        <v>45591</v>
      </c>
      <c r="B7">
        <f>-34.12+192.51</f>
        <v>158.39</v>
      </c>
      <c r="C7">
        <v>74.55</v>
      </c>
      <c r="D7" s="15">
        <f t="shared" si="0"/>
        <v>2.12461435278337</v>
      </c>
      <c r="E7" s="15"/>
      <c r="F7" s="15"/>
      <c r="G7" s="15"/>
    </row>
    <row r="8" spans="1:8">
      <c r="A8" s="3">
        <v>45592</v>
      </c>
      <c r="B8">
        <f>-56.59+159.04</f>
        <v>102.45</v>
      </c>
      <c r="C8">
        <v>51.28</v>
      </c>
      <c r="D8" s="15">
        <f t="shared" si="0"/>
        <v>1.99785491419657</v>
      </c>
      <c r="E8" s="15"/>
      <c r="F8" s="15"/>
      <c r="G8" s="16" t="s">
        <v>121</v>
      </c>
      <c r="H8" s="17" t="s">
        <v>122</v>
      </c>
    </row>
    <row r="9" spans="1:8">
      <c r="A9" s="3">
        <v>45593</v>
      </c>
      <c r="B9">
        <f>-306.75+458.88</f>
        <v>152.13</v>
      </c>
      <c r="C9">
        <f>156.07+12.81-33.39</f>
        <v>135.49</v>
      </c>
      <c r="D9" s="15">
        <f t="shared" si="0"/>
        <v>1.12281349177061</v>
      </c>
      <c r="E9" s="15"/>
      <c r="F9" s="15"/>
      <c r="G9" s="16" t="s">
        <v>123</v>
      </c>
      <c r="H9" s="18" t="s">
        <v>124</v>
      </c>
    </row>
    <row r="10" spans="1:8">
      <c r="A10" s="3">
        <v>45594</v>
      </c>
      <c r="B10">
        <f>-142.51+247.51</f>
        <v>105</v>
      </c>
      <c r="C10" s="2">
        <f>100.86+33.39</f>
        <v>134.25</v>
      </c>
      <c r="D10" s="15">
        <f t="shared" si="0"/>
        <v>0.782122905027933</v>
      </c>
      <c r="E10" s="15"/>
      <c r="F10" s="15"/>
      <c r="G10" s="19" t="s">
        <v>125</v>
      </c>
      <c r="H10" s="20" t="s">
        <v>121</v>
      </c>
    </row>
    <row r="11" spans="1:8">
      <c r="A11" s="3">
        <v>45595</v>
      </c>
      <c r="B11">
        <f>-40+172.95</f>
        <v>132.95</v>
      </c>
      <c r="C11">
        <v>70.52</v>
      </c>
      <c r="D11" s="15">
        <f t="shared" si="0"/>
        <v>1.88528077141236</v>
      </c>
      <c r="E11" s="15"/>
      <c r="F11" s="15"/>
      <c r="G11" s="19" t="s">
        <v>126</v>
      </c>
      <c r="H11" s="20" t="s">
        <v>123</v>
      </c>
    </row>
    <row r="12" spans="1:8">
      <c r="A12" s="3">
        <v>45596</v>
      </c>
      <c r="B12">
        <f>-47.52+212.99</f>
        <v>165.47</v>
      </c>
      <c r="C12">
        <v>88.97</v>
      </c>
      <c r="D12" s="15">
        <f t="shared" si="0"/>
        <v>1.85984039563898</v>
      </c>
      <c r="E12" s="15"/>
      <c r="F12" s="15"/>
      <c r="G12" s="21" t="s">
        <v>127</v>
      </c>
      <c r="H12" s="18" t="s">
        <v>127</v>
      </c>
    </row>
    <row r="13" spans="1:8">
      <c r="A13" s="3">
        <v>45597</v>
      </c>
      <c r="B13">
        <f>-126.94+229.27</f>
        <v>102.33</v>
      </c>
      <c r="C13">
        <v>82.01</v>
      </c>
      <c r="D13" s="15">
        <f t="shared" si="0"/>
        <v>1.24777466162663</v>
      </c>
      <c r="E13" s="15"/>
      <c r="F13" s="15"/>
      <c r="G13" s="21" t="s">
        <v>124</v>
      </c>
      <c r="H13" s="22" t="s">
        <v>125</v>
      </c>
    </row>
    <row r="14" spans="1:8">
      <c r="A14" s="3">
        <v>45598</v>
      </c>
      <c r="B14">
        <f>143.5</f>
        <v>143.5</v>
      </c>
      <c r="C14">
        <v>62.22</v>
      </c>
      <c r="D14" s="15">
        <f t="shared" si="0"/>
        <v>2.30633236901318</v>
      </c>
      <c r="E14" s="15"/>
      <c r="F14" s="15"/>
      <c r="G14" s="23" t="s">
        <v>128</v>
      </c>
      <c r="H14" s="22" t="s">
        <v>126</v>
      </c>
    </row>
    <row r="15" spans="1:8">
      <c r="A15" s="3">
        <v>45599</v>
      </c>
      <c r="B15">
        <f>-24.54+326.12</f>
        <v>301.58</v>
      </c>
      <c r="C15">
        <v>131.29</v>
      </c>
      <c r="D15" s="15">
        <f t="shared" si="0"/>
        <v>2.29705232690989</v>
      </c>
      <c r="E15" s="15"/>
      <c r="F15" s="15"/>
      <c r="G15" s="23" t="s">
        <v>129</v>
      </c>
      <c r="H15" s="18" t="s">
        <v>124</v>
      </c>
    </row>
    <row r="16" spans="1:8">
      <c r="A16" s="3">
        <v>45600</v>
      </c>
      <c r="B16">
        <f>-141.85+426.4</f>
        <v>284.55</v>
      </c>
      <c r="C16">
        <v>145.79</v>
      </c>
      <c r="D16" s="15">
        <f t="shared" si="0"/>
        <v>1.95177995747308</v>
      </c>
      <c r="E16" s="15"/>
      <c r="F16" s="15"/>
      <c r="G16" s="24" t="s">
        <v>130</v>
      </c>
      <c r="H16" s="25" t="s">
        <v>128</v>
      </c>
    </row>
    <row r="17" spans="1:8">
      <c r="A17" s="3">
        <v>45601</v>
      </c>
      <c r="B17">
        <f>-253.88+604.93</f>
        <v>351.05</v>
      </c>
      <c r="C17">
        <v>166</v>
      </c>
      <c r="D17" s="15">
        <f t="shared" si="0"/>
        <v>2.11475903614458</v>
      </c>
      <c r="E17" s="15"/>
      <c r="F17" s="15"/>
      <c r="G17" s="24" t="s">
        <v>122</v>
      </c>
      <c r="H17" s="25" t="s">
        <v>129</v>
      </c>
    </row>
    <row r="18" spans="1:8">
      <c r="A18" s="3">
        <v>45602</v>
      </c>
      <c r="B18">
        <f>-131.44+623.98</f>
        <v>492.54</v>
      </c>
      <c r="C18">
        <v>232.15</v>
      </c>
      <c r="D18" s="15">
        <f t="shared" si="0"/>
        <v>2.12164548783114</v>
      </c>
      <c r="E18" s="15"/>
      <c r="F18" s="15"/>
      <c r="G18" s="16" t="s">
        <v>121</v>
      </c>
      <c r="H18" s="18" t="s">
        <v>127</v>
      </c>
    </row>
    <row r="19" spans="1:8">
      <c r="A19" s="3">
        <v>45603</v>
      </c>
      <c r="B19">
        <f>-164.48+535.09</f>
        <v>370.61</v>
      </c>
      <c r="C19">
        <v>198.66</v>
      </c>
      <c r="D19" s="15">
        <f t="shared" si="0"/>
        <v>1.86554917950267</v>
      </c>
      <c r="E19" s="15"/>
      <c r="F19" s="15"/>
      <c r="G19" s="16" t="s">
        <v>123</v>
      </c>
      <c r="H19" s="17" t="s">
        <v>130</v>
      </c>
    </row>
    <row r="20" spans="1:8">
      <c r="A20" s="3">
        <v>45604</v>
      </c>
      <c r="B20">
        <f>-76.36+372.88</f>
        <v>296.52</v>
      </c>
      <c r="C20">
        <v>143.56</v>
      </c>
      <c r="D20" s="15">
        <f t="shared" si="0"/>
        <v>2.065477848983</v>
      </c>
      <c r="E20" s="15"/>
      <c r="F20" s="15"/>
      <c r="G20" s="19" t="s">
        <v>125</v>
      </c>
      <c r="H20" s="17" t="s">
        <v>122</v>
      </c>
    </row>
    <row r="21" spans="1:8">
      <c r="A21" s="3">
        <v>45605</v>
      </c>
      <c r="B21">
        <f>-151.86+591.79</f>
        <v>439.93</v>
      </c>
      <c r="C21">
        <v>225.67</v>
      </c>
      <c r="D21" s="15">
        <f t="shared" si="0"/>
        <v>1.9494394469801</v>
      </c>
      <c r="E21" s="15"/>
      <c r="F21" s="15"/>
      <c r="G21" s="19" t="s">
        <v>126</v>
      </c>
      <c r="H21" s="18" t="s">
        <v>124</v>
      </c>
    </row>
    <row r="22" spans="1:8">
      <c r="A22" s="3">
        <v>45606</v>
      </c>
      <c r="B22">
        <f>-93.21+512.4</f>
        <v>419.19</v>
      </c>
      <c r="C22">
        <v>188.61</v>
      </c>
      <c r="D22" s="15">
        <f t="shared" si="0"/>
        <v>2.22252266581836</v>
      </c>
      <c r="E22" s="15"/>
      <c r="F22" s="15"/>
      <c r="G22" s="21" t="s">
        <v>127</v>
      </c>
      <c r="H22" s="20" t="s">
        <v>121</v>
      </c>
    </row>
    <row r="23" spans="1:8">
      <c r="A23" s="3">
        <v>45607</v>
      </c>
      <c r="B23">
        <f>-153.58+662.84</f>
        <v>509.26</v>
      </c>
      <c r="C23">
        <v>213.25</v>
      </c>
      <c r="D23" s="15">
        <f t="shared" si="0"/>
        <v>2.38808909730363</v>
      </c>
      <c r="E23" s="15"/>
      <c r="F23" s="15"/>
      <c r="G23" s="21" t="s">
        <v>124</v>
      </c>
      <c r="H23" s="20" t="s">
        <v>123</v>
      </c>
    </row>
    <row r="24" spans="1:8">
      <c r="A24" s="3">
        <v>45608</v>
      </c>
      <c r="B24">
        <f>-67.94-7+594.1</f>
        <v>519.16</v>
      </c>
      <c r="C24">
        <v>209.85</v>
      </c>
      <c r="D24" s="15">
        <f t="shared" si="0"/>
        <v>2.47395758875387</v>
      </c>
      <c r="E24" s="15"/>
      <c r="F24" s="15"/>
      <c r="G24" s="23" t="s">
        <v>128</v>
      </c>
      <c r="H24" s="18" t="s">
        <v>127</v>
      </c>
    </row>
    <row r="25" spans="1:8">
      <c r="A25" s="3">
        <v>45609</v>
      </c>
      <c r="B25">
        <v>363.26</v>
      </c>
      <c r="C25">
        <v>157.49</v>
      </c>
      <c r="D25" s="15">
        <f t="shared" si="0"/>
        <v>2.30655914661248</v>
      </c>
      <c r="E25" s="15"/>
      <c r="F25" s="15"/>
      <c r="G25" s="23" t="s">
        <v>129</v>
      </c>
      <c r="H25" s="22" t="s">
        <v>125</v>
      </c>
    </row>
    <row r="26" spans="1:8">
      <c r="A26" s="3">
        <v>45610</v>
      </c>
      <c r="B26">
        <v>328.63</v>
      </c>
      <c r="C26">
        <v>136.3</v>
      </c>
      <c r="D26" s="15">
        <f t="shared" si="0"/>
        <v>2.41107850330154</v>
      </c>
      <c r="E26" s="15"/>
      <c r="F26" s="15"/>
      <c r="G26" s="24" t="s">
        <v>130</v>
      </c>
      <c r="H26" s="22" t="s">
        <v>126</v>
      </c>
    </row>
    <row r="27" spans="1:8">
      <c r="A27" s="3">
        <v>45611</v>
      </c>
      <c r="B27">
        <v>331.28</v>
      </c>
      <c r="C27">
        <v>144.49</v>
      </c>
      <c r="D27" s="15">
        <f t="shared" ref="D27:D33" si="1">B27/C27</f>
        <v>2.29275382379403</v>
      </c>
      <c r="E27" s="15"/>
      <c r="F27" s="15"/>
      <c r="G27" s="24" t="s">
        <v>122</v>
      </c>
      <c r="H27" s="18" t="s">
        <v>124</v>
      </c>
    </row>
    <row r="28" spans="1:8">
      <c r="A28" s="3">
        <v>45612</v>
      </c>
      <c r="B28">
        <v>487.43</v>
      </c>
      <c r="C28">
        <v>182.16</v>
      </c>
      <c r="D28" s="15">
        <f t="shared" si="1"/>
        <v>2.67583443126921</v>
      </c>
      <c r="E28" s="15"/>
      <c r="F28" s="15"/>
      <c r="G28" s="16" t="s">
        <v>121</v>
      </c>
      <c r="H28" s="25" t="s">
        <v>128</v>
      </c>
    </row>
    <row r="29" spans="1:8">
      <c r="A29" s="3">
        <v>45613</v>
      </c>
      <c r="B29">
        <v>323.27</v>
      </c>
      <c r="C29">
        <v>103.64</v>
      </c>
      <c r="D29" s="15">
        <f t="shared" si="1"/>
        <v>3.11916248552682</v>
      </c>
      <c r="E29" s="15"/>
      <c r="F29" s="15"/>
      <c r="G29" s="16" t="s">
        <v>123</v>
      </c>
      <c r="H29" s="25" t="s">
        <v>129</v>
      </c>
    </row>
    <row r="30" spans="1:8">
      <c r="A30" s="3">
        <v>45614</v>
      </c>
      <c r="B30">
        <v>365.76</v>
      </c>
      <c r="C30">
        <v>135.74</v>
      </c>
      <c r="D30" s="15">
        <f t="shared" si="1"/>
        <v>2.69456313540592</v>
      </c>
      <c r="E30" s="15"/>
      <c r="F30" s="15"/>
      <c r="G30" s="19" t="s">
        <v>125</v>
      </c>
      <c r="H30" s="18" t="s">
        <v>127</v>
      </c>
    </row>
    <row r="31" spans="1:8">
      <c r="A31" s="3">
        <v>45615</v>
      </c>
      <c r="B31">
        <v>341.15</v>
      </c>
      <c r="C31">
        <v>123.79</v>
      </c>
      <c r="D31" s="15">
        <f t="shared" si="1"/>
        <v>2.75587688827854</v>
      </c>
      <c r="E31" s="15"/>
      <c r="F31" s="15"/>
      <c r="G31" s="19" t="s">
        <v>126</v>
      </c>
      <c r="H31" s="17" t="s">
        <v>130</v>
      </c>
    </row>
    <row r="32" spans="1:8">
      <c r="A32" s="3">
        <v>45616</v>
      </c>
      <c r="B32">
        <v>420.45</v>
      </c>
      <c r="C32">
        <v>141.89</v>
      </c>
      <c r="D32" s="15">
        <f t="shared" si="1"/>
        <v>2.9632109380506</v>
      </c>
      <c r="E32" s="15"/>
      <c r="F32" s="15"/>
      <c r="G32" s="21" t="s">
        <v>127</v>
      </c>
      <c r="H32" s="17" t="s">
        <v>122</v>
      </c>
    </row>
    <row r="33" spans="1:8">
      <c r="A33" s="3">
        <v>45617</v>
      </c>
      <c r="B33">
        <v>218.33</v>
      </c>
      <c r="C33">
        <v>92.71</v>
      </c>
      <c r="D33" s="15">
        <f t="shared" si="1"/>
        <v>2.35497788803797</v>
      </c>
      <c r="E33" s="15"/>
      <c r="F33" s="15"/>
      <c r="G33" s="21" t="s">
        <v>124</v>
      </c>
      <c r="H33" s="18" t="s">
        <v>124</v>
      </c>
    </row>
    <row r="34" spans="1:8">
      <c r="A34" s="3">
        <v>45618</v>
      </c>
      <c r="B34">
        <v>235.16</v>
      </c>
      <c r="C34">
        <f>101.21+5.96-17.41</f>
        <v>89.76</v>
      </c>
      <c r="D34" s="15">
        <f t="shared" ref="D34:D90" si="2">B34/C34</f>
        <v>2.6198752228164</v>
      </c>
      <c r="E34" s="15"/>
      <c r="F34" s="15"/>
      <c r="G34" s="23" t="s">
        <v>128</v>
      </c>
      <c r="H34" s="20" t="s">
        <v>121</v>
      </c>
    </row>
    <row r="35" spans="1:8">
      <c r="A35" s="3">
        <v>45619</v>
      </c>
      <c r="B35">
        <v>214.27</v>
      </c>
      <c r="C35">
        <f>76.07+17.41-12.33</f>
        <v>81.15</v>
      </c>
      <c r="D35" s="15">
        <f t="shared" si="2"/>
        <v>2.64041897720271</v>
      </c>
      <c r="E35" s="15"/>
      <c r="F35" s="15"/>
      <c r="G35" s="23" t="s">
        <v>129</v>
      </c>
      <c r="H35" s="20" t="s">
        <v>123</v>
      </c>
    </row>
    <row r="36" spans="1:8">
      <c r="A36" s="3">
        <v>45620</v>
      </c>
      <c r="B36">
        <v>398.35</v>
      </c>
      <c r="C36">
        <f>146.29+12.33-15.98</f>
        <v>142.64</v>
      </c>
      <c r="D36" s="15">
        <f t="shared" si="2"/>
        <v>2.79269489624229</v>
      </c>
      <c r="E36" s="15"/>
      <c r="F36" s="15"/>
      <c r="G36" s="24" t="s">
        <v>130</v>
      </c>
      <c r="H36" s="18" t="s">
        <v>127</v>
      </c>
    </row>
    <row r="37" spans="1:8">
      <c r="A37" s="3">
        <v>45621</v>
      </c>
      <c r="B37">
        <v>291.14</v>
      </c>
      <c r="C37">
        <f>119.36+15.98-17.67</f>
        <v>117.67</v>
      </c>
      <c r="D37" s="15">
        <f t="shared" si="2"/>
        <v>2.47420752953174</v>
      </c>
      <c r="E37" s="15"/>
      <c r="F37" s="15"/>
      <c r="G37" s="24" t="s">
        <v>122</v>
      </c>
      <c r="H37" s="22" t="s">
        <v>125</v>
      </c>
    </row>
    <row r="38" spans="1:8">
      <c r="A38" s="3">
        <v>45622</v>
      </c>
      <c r="B38">
        <v>423.01</v>
      </c>
      <c r="C38">
        <f>138.96+17.67-14.08</f>
        <v>142.55</v>
      </c>
      <c r="D38" s="15">
        <f t="shared" si="2"/>
        <v>2.96745001753771</v>
      </c>
      <c r="E38" s="15"/>
      <c r="F38" s="15"/>
      <c r="G38" s="16" t="s">
        <v>121</v>
      </c>
      <c r="H38" s="22" t="s">
        <v>126</v>
      </c>
    </row>
    <row r="39" spans="1:8">
      <c r="A39" s="3">
        <v>45623</v>
      </c>
      <c r="B39">
        <v>276.55</v>
      </c>
      <c r="C39">
        <v>124.17</v>
      </c>
      <c r="D39" s="15">
        <f t="shared" si="2"/>
        <v>2.22718853185149</v>
      </c>
      <c r="E39" s="15"/>
      <c r="F39" s="15"/>
      <c r="G39" s="16" t="s">
        <v>123</v>
      </c>
      <c r="H39" s="18" t="s">
        <v>124</v>
      </c>
    </row>
    <row r="40" spans="1:8">
      <c r="A40" s="3">
        <v>45624</v>
      </c>
      <c r="B40">
        <v>235.91</v>
      </c>
      <c r="C40">
        <v>86.64</v>
      </c>
      <c r="D40" s="15">
        <f t="shared" si="2"/>
        <v>2.72287626962142</v>
      </c>
      <c r="E40" s="15"/>
      <c r="F40" s="15"/>
      <c r="G40" s="19" t="s">
        <v>125</v>
      </c>
      <c r="H40" s="25" t="s">
        <v>128</v>
      </c>
    </row>
    <row r="41" spans="1:8">
      <c r="A41" s="3">
        <v>45625</v>
      </c>
      <c r="B41">
        <v>299.16</v>
      </c>
      <c r="C41">
        <v>109.43</v>
      </c>
      <c r="D41" s="15">
        <f t="shared" si="2"/>
        <v>2.73380243077767</v>
      </c>
      <c r="E41" s="15"/>
      <c r="F41" s="15"/>
      <c r="G41" s="19" t="s">
        <v>126</v>
      </c>
      <c r="H41" s="25" t="s">
        <v>129</v>
      </c>
    </row>
    <row r="42" spans="1:8">
      <c r="A42" s="3">
        <v>45626</v>
      </c>
      <c r="B42">
        <v>207.8</v>
      </c>
      <c r="C42">
        <v>94.96</v>
      </c>
      <c r="D42" s="15">
        <f t="shared" si="2"/>
        <v>2.1882898062342</v>
      </c>
      <c r="E42" s="15"/>
      <c r="F42" s="15"/>
      <c r="G42" s="21" t="s">
        <v>127</v>
      </c>
      <c r="H42" s="18" t="s">
        <v>127</v>
      </c>
    </row>
    <row r="43" spans="1:8">
      <c r="A43" s="3">
        <v>45627</v>
      </c>
      <c r="B43">
        <v>327.53</v>
      </c>
      <c r="C43">
        <v>140.32</v>
      </c>
      <c r="D43" s="15">
        <f t="shared" si="2"/>
        <v>2.33416476624857</v>
      </c>
      <c r="E43" s="15"/>
      <c r="F43" s="15"/>
      <c r="G43" s="21" t="s">
        <v>124</v>
      </c>
      <c r="H43" s="17" t="s">
        <v>130</v>
      </c>
    </row>
    <row r="44" spans="1:8">
      <c r="A44" s="3">
        <v>45628</v>
      </c>
      <c r="B44">
        <v>240.13</v>
      </c>
      <c r="C44">
        <v>150.67</v>
      </c>
      <c r="D44" s="15">
        <f t="shared" si="2"/>
        <v>1.59374792593084</v>
      </c>
      <c r="E44" s="15"/>
      <c r="F44" s="15"/>
      <c r="G44" s="23" t="s">
        <v>128</v>
      </c>
      <c r="H44" s="17" t="s">
        <v>122</v>
      </c>
    </row>
    <row r="45" spans="1:8">
      <c r="A45" s="3">
        <v>45629</v>
      </c>
      <c r="B45">
        <v>413.14</v>
      </c>
      <c r="C45">
        <v>128.87</v>
      </c>
      <c r="D45" s="15">
        <f t="shared" si="2"/>
        <v>3.20586637696904</v>
      </c>
      <c r="E45" s="15"/>
      <c r="F45" s="15"/>
      <c r="G45" s="23" t="s">
        <v>129</v>
      </c>
      <c r="H45" s="18" t="s">
        <v>124</v>
      </c>
    </row>
    <row r="46" spans="1:8">
      <c r="A46" s="3">
        <v>45630</v>
      </c>
      <c r="B46">
        <v>489.82</v>
      </c>
      <c r="C46">
        <v>137.61</v>
      </c>
      <c r="D46" s="15">
        <f t="shared" si="2"/>
        <v>3.55947968897609</v>
      </c>
      <c r="E46" s="15"/>
      <c r="F46" s="15"/>
      <c r="G46" s="24" t="s">
        <v>130</v>
      </c>
      <c r="H46" s="20" t="s">
        <v>121</v>
      </c>
    </row>
    <row r="47" spans="1:8">
      <c r="A47" s="3">
        <v>45631</v>
      </c>
      <c r="B47">
        <v>426.25</v>
      </c>
      <c r="C47">
        <v>168.01</v>
      </c>
      <c r="D47" s="15">
        <f t="shared" si="2"/>
        <v>2.53705136599012</v>
      </c>
      <c r="E47" s="15"/>
      <c r="F47" s="15"/>
      <c r="G47" s="24" t="s">
        <v>122</v>
      </c>
      <c r="H47" s="20" t="s">
        <v>123</v>
      </c>
    </row>
    <row r="48" spans="1:8">
      <c r="A48" s="3">
        <v>45632</v>
      </c>
      <c r="B48">
        <v>485.05</v>
      </c>
      <c r="C48">
        <v>169.18</v>
      </c>
      <c r="D48" s="15">
        <f t="shared" si="2"/>
        <v>2.867064664854</v>
      </c>
      <c r="E48" s="15"/>
      <c r="F48" s="15"/>
      <c r="G48" s="16" t="s">
        <v>121</v>
      </c>
      <c r="H48" s="18" t="s">
        <v>127</v>
      </c>
    </row>
    <row r="49" spans="1:8">
      <c r="A49" s="3">
        <v>45633</v>
      </c>
      <c r="B49">
        <v>296.84</v>
      </c>
      <c r="C49">
        <v>112.53</v>
      </c>
      <c r="D49" s="15">
        <f t="shared" si="2"/>
        <v>2.63787434461921</v>
      </c>
      <c r="E49" s="15"/>
      <c r="F49" s="15"/>
      <c r="G49" s="16" t="s">
        <v>123</v>
      </c>
      <c r="H49" s="22" t="s">
        <v>125</v>
      </c>
    </row>
    <row r="50" spans="1:8">
      <c r="A50" s="3">
        <v>45634</v>
      </c>
      <c r="B50">
        <v>312.22</v>
      </c>
      <c r="C50">
        <v>82.97</v>
      </c>
      <c r="D50" s="15">
        <f t="shared" si="2"/>
        <v>3.76304688441605</v>
      </c>
      <c r="E50" s="15"/>
      <c r="F50" s="15"/>
      <c r="G50" s="19" t="s">
        <v>125</v>
      </c>
      <c r="H50" s="22" t="s">
        <v>126</v>
      </c>
    </row>
    <row r="51" spans="1:8">
      <c r="A51" s="3">
        <v>45635</v>
      </c>
      <c r="B51">
        <v>324.01</v>
      </c>
      <c r="C51">
        <v>174.75</v>
      </c>
      <c r="D51" s="15">
        <f t="shared" si="2"/>
        <v>1.85413447782546</v>
      </c>
      <c r="E51" s="15"/>
      <c r="F51" s="15"/>
      <c r="G51" s="19" t="s">
        <v>126</v>
      </c>
      <c r="H51" s="18" t="s">
        <v>124</v>
      </c>
    </row>
    <row r="52" spans="1:8">
      <c r="A52" s="3">
        <v>45636</v>
      </c>
      <c r="B52">
        <v>267.6</v>
      </c>
      <c r="C52">
        <v>92.01</v>
      </c>
      <c r="D52" s="15">
        <f t="shared" si="2"/>
        <v>2.90837952396479</v>
      </c>
      <c r="E52" s="15"/>
      <c r="F52" s="15"/>
      <c r="G52" s="21" t="s">
        <v>127</v>
      </c>
      <c r="H52" s="25" t="s">
        <v>128</v>
      </c>
    </row>
    <row r="53" spans="1:8">
      <c r="A53" s="3">
        <v>45637</v>
      </c>
      <c r="B53">
        <v>463.31</v>
      </c>
      <c r="C53">
        <v>105.27</v>
      </c>
      <c r="D53" s="15">
        <f t="shared" si="2"/>
        <v>4.4011589246699</v>
      </c>
      <c r="E53" s="15"/>
      <c r="F53" s="15"/>
      <c r="G53" s="21" t="s">
        <v>124</v>
      </c>
      <c r="H53" s="25" t="s">
        <v>129</v>
      </c>
    </row>
    <row r="54" spans="1:8">
      <c r="A54" s="3">
        <v>45638</v>
      </c>
      <c r="B54">
        <v>388.27</v>
      </c>
      <c r="C54">
        <v>143.11</v>
      </c>
      <c r="D54" s="15">
        <f t="shared" si="2"/>
        <v>2.71308783453288</v>
      </c>
      <c r="E54" s="15"/>
      <c r="F54" s="15"/>
      <c r="G54" s="23" t="s">
        <v>128</v>
      </c>
      <c r="H54" s="18" t="s">
        <v>127</v>
      </c>
    </row>
    <row r="55" spans="1:8">
      <c r="A55" s="3">
        <v>45639</v>
      </c>
      <c r="B55">
        <v>328.75</v>
      </c>
      <c r="C55">
        <v>138.71</v>
      </c>
      <c r="D55" s="15">
        <f t="shared" si="2"/>
        <v>2.37005262778459</v>
      </c>
      <c r="E55" s="15"/>
      <c r="F55" s="15"/>
      <c r="G55" s="23" t="s">
        <v>129</v>
      </c>
      <c r="H55" s="17" t="s">
        <v>130</v>
      </c>
    </row>
    <row r="56" spans="1:8">
      <c r="A56" s="3">
        <v>45640</v>
      </c>
      <c r="B56">
        <v>428.36</v>
      </c>
      <c r="C56">
        <v>113.88</v>
      </c>
      <c r="D56" s="15">
        <f t="shared" si="2"/>
        <v>3.7615033368458</v>
      </c>
      <c r="E56" s="15"/>
      <c r="F56" s="15"/>
      <c r="G56" s="24" t="s">
        <v>130</v>
      </c>
      <c r="H56" s="17" t="s">
        <v>122</v>
      </c>
    </row>
    <row r="57" spans="1:8">
      <c r="A57" s="3">
        <v>45641</v>
      </c>
      <c r="B57">
        <v>266.59</v>
      </c>
      <c r="C57">
        <v>114.96</v>
      </c>
      <c r="D57" s="15">
        <f t="shared" si="2"/>
        <v>2.31898051496173</v>
      </c>
      <c r="E57" s="15"/>
      <c r="F57" s="15"/>
      <c r="G57" s="24" t="s">
        <v>122</v>
      </c>
      <c r="H57" s="18" t="s">
        <v>124</v>
      </c>
    </row>
    <row r="58" spans="1:10">
      <c r="A58" s="3">
        <v>45642</v>
      </c>
      <c r="B58">
        <v>305.85</v>
      </c>
      <c r="C58">
        <v>132.83</v>
      </c>
      <c r="D58" s="15">
        <f t="shared" si="2"/>
        <v>2.30256719114658</v>
      </c>
      <c r="E58" s="15">
        <v>-44.05</v>
      </c>
      <c r="F58" s="26">
        <f>SUM(E58:E64)</f>
        <v>215.5949</v>
      </c>
      <c r="G58" s="16" t="s">
        <v>121</v>
      </c>
      <c r="H58" s="20" t="s">
        <v>121</v>
      </c>
      <c r="I58">
        <f>SUM(B58:B64)</f>
        <v>2758.45</v>
      </c>
      <c r="J58" s="27">
        <f>F58/I58</f>
        <v>0.0781579872754627</v>
      </c>
    </row>
    <row r="59" spans="1:10">
      <c r="A59" s="3">
        <v>45643</v>
      </c>
      <c r="B59">
        <v>428.09</v>
      </c>
      <c r="C59">
        <v>134.28</v>
      </c>
      <c r="D59" s="15">
        <f t="shared" si="2"/>
        <v>3.1880399165922</v>
      </c>
      <c r="E59">
        <v>84.7</v>
      </c>
      <c r="F59" s="26"/>
      <c r="G59" s="16" t="s">
        <v>123</v>
      </c>
      <c r="H59" s="20" t="s">
        <v>123</v>
      </c>
      <c r="I59">
        <f>SUM(B65:B71)</f>
        <v>2978.88</v>
      </c>
      <c r="J59" s="27">
        <f>F65/I59</f>
        <v>0.0859504914598775</v>
      </c>
    </row>
    <row r="60" spans="1:10">
      <c r="A60" s="3">
        <v>45644</v>
      </c>
      <c r="B60">
        <v>329.91</v>
      </c>
      <c r="C60">
        <v>136.24</v>
      </c>
      <c r="D60" s="15">
        <f t="shared" si="2"/>
        <v>2.42153552554316</v>
      </c>
      <c r="E60" s="15">
        <v>-21.75</v>
      </c>
      <c r="F60" s="26"/>
      <c r="G60" s="19" t="s">
        <v>125</v>
      </c>
      <c r="H60" s="18" t="s">
        <v>127</v>
      </c>
      <c r="I60">
        <f>SUM(B72:B78)</f>
        <v>3202.52</v>
      </c>
      <c r="J60" s="27">
        <f>F72/I60</f>
        <v>0.0808134531556399</v>
      </c>
    </row>
    <row r="61" spans="1:10">
      <c r="A61" s="3">
        <v>45645</v>
      </c>
      <c r="B61">
        <v>353.84</v>
      </c>
      <c r="C61">
        <v>124.42</v>
      </c>
      <c r="D61" s="15">
        <f t="shared" si="2"/>
        <v>2.84391576916894</v>
      </c>
      <c r="E61" s="15">
        <v>41.7</v>
      </c>
      <c r="F61" s="26"/>
      <c r="G61" s="19" t="s">
        <v>126</v>
      </c>
      <c r="H61" s="22" t="s">
        <v>125</v>
      </c>
      <c r="I61">
        <f>SUM(B79:B85)</f>
        <v>3797.66</v>
      </c>
      <c r="J61" s="27">
        <f>F79/I61</f>
        <v>0.100736585160336</v>
      </c>
    </row>
    <row r="62" spans="1:8">
      <c r="A62" s="3">
        <v>45646</v>
      </c>
      <c r="B62">
        <v>495.25</v>
      </c>
      <c r="C62">
        <v>205.85</v>
      </c>
      <c r="D62" s="15">
        <f t="shared" si="2"/>
        <v>2.40587806655332</v>
      </c>
      <c r="E62" s="15">
        <v>58.98</v>
      </c>
      <c r="F62" s="26"/>
      <c r="G62" s="21" t="s">
        <v>127</v>
      </c>
      <c r="H62" s="22" t="s">
        <v>126</v>
      </c>
    </row>
    <row r="63" spans="1:8">
      <c r="A63" s="3">
        <v>45647</v>
      </c>
      <c r="B63">
        <v>426.34</v>
      </c>
      <c r="C63">
        <v>140.54</v>
      </c>
      <c r="D63" s="15">
        <f t="shared" si="2"/>
        <v>3.03358474455671</v>
      </c>
      <c r="E63" s="15">
        <v>59.19</v>
      </c>
      <c r="F63" s="26"/>
      <c r="G63" s="21" t="s">
        <v>124</v>
      </c>
      <c r="H63" s="18" t="s">
        <v>124</v>
      </c>
    </row>
    <row r="64" spans="1:8">
      <c r="A64" s="3">
        <v>45648</v>
      </c>
      <c r="B64">
        <v>419.17</v>
      </c>
      <c r="C64">
        <v>144.63</v>
      </c>
      <c r="D64" s="15">
        <f t="shared" si="2"/>
        <v>2.8982230519256</v>
      </c>
      <c r="E64" s="15">
        <v>36.8249</v>
      </c>
      <c r="F64" s="26"/>
      <c r="G64" s="23" t="s">
        <v>128</v>
      </c>
      <c r="H64" s="25" t="s">
        <v>128</v>
      </c>
    </row>
    <row r="65" spans="1:8">
      <c r="A65" s="3">
        <v>45649</v>
      </c>
      <c r="B65">
        <v>243.89</v>
      </c>
      <c r="C65">
        <v>91.09</v>
      </c>
      <c r="D65" s="15">
        <f t="shared" si="2"/>
        <v>2.67746185091668</v>
      </c>
      <c r="E65" s="15">
        <v>-23.667</v>
      </c>
      <c r="F65" s="26">
        <f t="shared" ref="F65" si="3">SUM(E65:E71)</f>
        <v>256.0362</v>
      </c>
      <c r="G65" s="23" t="s">
        <v>129</v>
      </c>
      <c r="H65" s="25" t="s">
        <v>129</v>
      </c>
    </row>
    <row r="66" spans="1:8">
      <c r="A66" s="3">
        <v>45650</v>
      </c>
      <c r="B66">
        <v>224.79</v>
      </c>
      <c r="C66">
        <v>109.91</v>
      </c>
      <c r="D66" s="15">
        <f t="shared" si="2"/>
        <v>2.04521881539441</v>
      </c>
      <c r="E66" s="15">
        <v>-19.0105</v>
      </c>
      <c r="F66" s="26"/>
      <c r="G66" s="24" t="s">
        <v>130</v>
      </c>
      <c r="H66" s="18" t="s">
        <v>127</v>
      </c>
    </row>
    <row r="67" spans="1:8">
      <c r="A67" s="3">
        <v>45651</v>
      </c>
      <c r="B67">
        <v>376.1</v>
      </c>
      <c r="C67">
        <v>107.92</v>
      </c>
      <c r="D67" s="15">
        <f t="shared" si="2"/>
        <v>3.48498888065233</v>
      </c>
      <c r="E67" s="15">
        <v>63.293</v>
      </c>
      <c r="F67" s="26"/>
      <c r="G67" s="24" t="s">
        <v>122</v>
      </c>
      <c r="H67" s="17" t="s">
        <v>130</v>
      </c>
    </row>
    <row r="68" spans="1:8">
      <c r="A68" s="3">
        <v>45652</v>
      </c>
      <c r="B68">
        <v>639.43</v>
      </c>
      <c r="C68">
        <v>227.51</v>
      </c>
      <c r="D68" s="15">
        <f t="shared" si="2"/>
        <v>2.8105577776801</v>
      </c>
      <c r="E68" s="15">
        <v>141.2597</v>
      </c>
      <c r="F68" s="26"/>
      <c r="G68" s="16" t="s">
        <v>121</v>
      </c>
      <c r="H68" s="17" t="s">
        <v>122</v>
      </c>
    </row>
    <row r="69" spans="1:8">
      <c r="A69" s="3">
        <v>45653</v>
      </c>
      <c r="B69">
        <v>391.61</v>
      </c>
      <c r="C69">
        <f>10.54+27.21+100.41</f>
        <v>138.16</v>
      </c>
      <c r="D69" s="15">
        <f t="shared" si="2"/>
        <v>2.83446728430805</v>
      </c>
      <c r="E69" s="15">
        <v>-11.42</v>
      </c>
      <c r="F69" s="26"/>
      <c r="G69" s="16" t="s">
        <v>123</v>
      </c>
      <c r="H69" s="18" t="s">
        <v>124</v>
      </c>
    </row>
    <row r="70" spans="1:8">
      <c r="A70" s="3">
        <v>45654</v>
      </c>
      <c r="B70">
        <v>691.88</v>
      </c>
      <c r="C70">
        <v>265.2</v>
      </c>
      <c r="D70" s="15">
        <f t="shared" si="2"/>
        <v>2.60889894419306</v>
      </c>
      <c r="E70" s="15">
        <v>41.5395</v>
      </c>
      <c r="F70" s="26"/>
      <c r="G70" s="19" t="s">
        <v>125</v>
      </c>
      <c r="H70" s="20" t="s">
        <v>121</v>
      </c>
    </row>
    <row r="71" spans="1:8">
      <c r="A71" s="3">
        <v>45655</v>
      </c>
      <c r="B71">
        <v>411.18</v>
      </c>
      <c r="C71">
        <f>23.64+2.66+108.19</f>
        <v>134.49</v>
      </c>
      <c r="D71" s="15">
        <f t="shared" si="2"/>
        <v>3.05732768235557</v>
      </c>
      <c r="E71" s="15">
        <v>64.0415</v>
      </c>
      <c r="F71" s="26"/>
      <c r="G71" s="19" t="s">
        <v>126</v>
      </c>
      <c r="H71" s="20" t="s">
        <v>123</v>
      </c>
    </row>
    <row r="72" spans="1:8">
      <c r="A72" s="3">
        <v>45656</v>
      </c>
      <c r="B72">
        <v>406.4</v>
      </c>
      <c r="C72">
        <f>30+2.18+141.13</f>
        <v>173.31</v>
      </c>
      <c r="D72" s="15">
        <f t="shared" si="2"/>
        <v>2.34493104841036</v>
      </c>
      <c r="E72" s="15">
        <v>27.1622</v>
      </c>
      <c r="F72" s="26">
        <f t="shared" ref="F72" si="4">SUM(E72:E78)</f>
        <v>258.8067</v>
      </c>
      <c r="G72" s="21" t="s">
        <v>127</v>
      </c>
      <c r="H72" s="18" t="s">
        <v>127</v>
      </c>
    </row>
    <row r="73" spans="1:8">
      <c r="A73" s="3">
        <v>45657</v>
      </c>
      <c r="B73">
        <v>470.28</v>
      </c>
      <c r="C73">
        <f>32.16+121.69</f>
        <v>153.85</v>
      </c>
      <c r="D73" s="15">
        <f t="shared" si="2"/>
        <v>3.05674358141046</v>
      </c>
      <c r="E73" s="15">
        <v>45.6981</v>
      </c>
      <c r="F73" s="26"/>
      <c r="G73" s="21" t="s">
        <v>124</v>
      </c>
      <c r="H73" s="22" t="s">
        <v>125</v>
      </c>
    </row>
    <row r="74" spans="1:8">
      <c r="A74" s="3">
        <v>45658</v>
      </c>
      <c r="B74">
        <v>521.37</v>
      </c>
      <c r="C74">
        <f>28.02+4.37+121.59</f>
        <v>153.98</v>
      </c>
      <c r="D74" s="15">
        <f t="shared" si="2"/>
        <v>3.38595921548253</v>
      </c>
      <c r="E74" s="15">
        <f>96.622-3.5</f>
        <v>93.122</v>
      </c>
      <c r="F74" s="26"/>
      <c r="G74" s="23" t="s">
        <v>128</v>
      </c>
      <c r="H74" s="22" t="s">
        <v>126</v>
      </c>
    </row>
    <row r="75" spans="1:8">
      <c r="A75" s="3">
        <v>45659</v>
      </c>
      <c r="B75">
        <v>577.26</v>
      </c>
      <c r="C75">
        <f>32.51+189.51</f>
        <v>222.02</v>
      </c>
      <c r="D75" s="15">
        <f t="shared" si="2"/>
        <v>2.60003603278984</v>
      </c>
      <c r="E75" s="15">
        <v>18.02</v>
      </c>
      <c r="F75" s="26"/>
      <c r="G75" s="23" t="s">
        <v>129</v>
      </c>
      <c r="H75" s="18" t="s">
        <v>124</v>
      </c>
    </row>
    <row r="76" spans="1:8">
      <c r="A76" s="3">
        <v>45660</v>
      </c>
      <c r="B76">
        <v>340.79</v>
      </c>
      <c r="C76">
        <f>26.53+4.12+105.32</f>
        <v>135.97</v>
      </c>
      <c r="D76" s="15">
        <f t="shared" si="2"/>
        <v>2.50636169743326</v>
      </c>
      <c r="E76" s="15">
        <v>11.0124</v>
      </c>
      <c r="F76" s="26"/>
      <c r="G76" s="24" t="s">
        <v>130</v>
      </c>
      <c r="H76" s="25" t="s">
        <v>128</v>
      </c>
    </row>
    <row r="77" spans="1:8">
      <c r="A77" s="3">
        <v>45661</v>
      </c>
      <c r="B77">
        <v>385.42</v>
      </c>
      <c r="C77">
        <f>9.59+3.13+107.78</f>
        <v>120.5</v>
      </c>
      <c r="D77" s="15">
        <f t="shared" si="2"/>
        <v>3.19850622406639</v>
      </c>
      <c r="E77" s="15">
        <f>23.256-7</f>
        <v>16.256</v>
      </c>
      <c r="F77" s="26"/>
      <c r="G77" s="24" t="s">
        <v>122</v>
      </c>
      <c r="H77" s="25" t="s">
        <v>129</v>
      </c>
    </row>
    <row r="78" spans="1:8">
      <c r="A78" s="3">
        <v>45662</v>
      </c>
      <c r="B78">
        <v>501</v>
      </c>
      <c r="C78">
        <v>152.64</v>
      </c>
      <c r="D78" s="15">
        <f t="shared" si="2"/>
        <v>3.28223270440252</v>
      </c>
      <c r="E78" s="15">
        <v>47.536</v>
      </c>
      <c r="F78" s="26"/>
      <c r="G78" s="16" t="s">
        <v>121</v>
      </c>
      <c r="H78" s="18" t="s">
        <v>127</v>
      </c>
    </row>
    <row r="79" spans="1:8">
      <c r="A79" s="3">
        <v>45663</v>
      </c>
      <c r="B79">
        <v>783.94</v>
      </c>
      <c r="C79">
        <v>228.32</v>
      </c>
      <c r="D79" s="15">
        <f t="shared" si="2"/>
        <v>3.43351436580238</v>
      </c>
      <c r="E79" s="15">
        <v>104.324</v>
      </c>
      <c r="F79" s="26">
        <f t="shared" ref="F79" si="5">SUM(E79:E85)</f>
        <v>382.5633</v>
      </c>
      <c r="G79" s="16" t="s">
        <v>123</v>
      </c>
      <c r="H79" s="17" t="s">
        <v>130</v>
      </c>
    </row>
    <row r="80" spans="1:8">
      <c r="A80" s="3">
        <v>45664</v>
      </c>
      <c r="B80">
        <v>467.74</v>
      </c>
      <c r="C80">
        <f>2.37+30+131.53</f>
        <v>163.9</v>
      </c>
      <c r="D80" s="15">
        <f t="shared" si="2"/>
        <v>2.85381330079317</v>
      </c>
      <c r="E80" s="15">
        <v>5.7199</v>
      </c>
      <c r="F80" s="26"/>
      <c r="G80" s="19" t="s">
        <v>125</v>
      </c>
      <c r="H80" s="17" t="s">
        <v>122</v>
      </c>
    </row>
    <row r="81" spans="1:15">
      <c r="A81" s="3">
        <v>45665</v>
      </c>
      <c r="B81">
        <v>523.54</v>
      </c>
      <c r="C81">
        <f>38.24+12.84+150.52</f>
        <v>201.6</v>
      </c>
      <c r="D81" s="15">
        <f t="shared" si="2"/>
        <v>2.5969246031746</v>
      </c>
      <c r="E81" s="15">
        <v>10.3525</v>
      </c>
      <c r="F81" s="26"/>
      <c r="G81" s="19" t="s">
        <v>126</v>
      </c>
      <c r="H81" s="18" t="s">
        <v>124</v>
      </c>
      <c r="M81" s="2"/>
      <c r="O81" s="2"/>
    </row>
    <row r="82" spans="1:8">
      <c r="A82" s="3">
        <v>45666</v>
      </c>
      <c r="B82">
        <v>532.22</v>
      </c>
      <c r="C82">
        <f>16.55+147.03</f>
        <v>163.58</v>
      </c>
      <c r="D82" s="15">
        <f t="shared" si="2"/>
        <v>3.25357623181318</v>
      </c>
      <c r="E82" s="15">
        <v>43.909</v>
      </c>
      <c r="F82" s="26"/>
      <c r="G82" s="21" t="s">
        <v>127</v>
      </c>
      <c r="H82" s="20" t="s">
        <v>121</v>
      </c>
    </row>
    <row r="83" spans="1:8">
      <c r="A83" s="3">
        <v>45667</v>
      </c>
      <c r="B83">
        <v>265.66</v>
      </c>
      <c r="C83">
        <v>88.26</v>
      </c>
      <c r="D83" s="15">
        <f t="shared" si="2"/>
        <v>3.00997054158169</v>
      </c>
      <c r="E83" s="2">
        <v>17.2725</v>
      </c>
      <c r="F83" s="26"/>
      <c r="G83" s="21" t="s">
        <v>124</v>
      </c>
      <c r="H83" s="20" t="s">
        <v>123</v>
      </c>
    </row>
    <row r="84" spans="1:8">
      <c r="A84" s="3">
        <v>45668</v>
      </c>
      <c r="B84">
        <v>641.4</v>
      </c>
      <c r="C84">
        <v>178.3</v>
      </c>
      <c r="D84" s="15">
        <f t="shared" si="2"/>
        <v>3.59730790802019</v>
      </c>
      <c r="E84" s="15">
        <v>110.01</v>
      </c>
      <c r="F84" s="26"/>
      <c r="G84" s="23" t="s">
        <v>128</v>
      </c>
      <c r="H84" s="18" t="s">
        <v>127</v>
      </c>
    </row>
    <row r="85" spans="1:8">
      <c r="A85" s="3">
        <v>45669</v>
      </c>
      <c r="B85">
        <v>583.16</v>
      </c>
      <c r="C85">
        <v>155.42</v>
      </c>
      <c r="D85" s="15">
        <f t="shared" si="2"/>
        <v>3.75215544974907</v>
      </c>
      <c r="E85" s="15">
        <v>90.9754</v>
      </c>
      <c r="F85" s="26"/>
      <c r="G85" s="23" t="s">
        <v>129</v>
      </c>
      <c r="H85" s="22" t="s">
        <v>125</v>
      </c>
    </row>
    <row r="86" spans="1:8">
      <c r="A86" s="3">
        <v>45670</v>
      </c>
      <c r="B86">
        <v>726.49</v>
      </c>
      <c r="C86">
        <v>216.3</v>
      </c>
      <c r="D86" s="15">
        <f t="shared" si="2"/>
        <v>3.35871474803514</v>
      </c>
      <c r="E86" s="15">
        <v>81.1909</v>
      </c>
      <c r="F86" s="26">
        <f t="shared" ref="F86" si="6">SUM(E86:E92)</f>
        <v>441.2532</v>
      </c>
      <c r="G86" s="24" t="s">
        <v>130</v>
      </c>
      <c r="H86" s="22" t="s">
        <v>126</v>
      </c>
    </row>
    <row r="87" spans="1:8">
      <c r="A87" s="3">
        <v>45671</v>
      </c>
      <c r="B87">
        <v>568.39</v>
      </c>
      <c r="C87">
        <v>157.97</v>
      </c>
      <c r="D87" s="15">
        <f t="shared" si="2"/>
        <v>3.59808824460341</v>
      </c>
      <c r="E87" s="15">
        <v>90.3798</v>
      </c>
      <c r="F87" s="26"/>
      <c r="G87" s="24" t="s">
        <v>122</v>
      </c>
      <c r="H87" s="18" t="s">
        <v>124</v>
      </c>
    </row>
    <row r="88" spans="1:8">
      <c r="A88" s="3">
        <v>45672</v>
      </c>
      <c r="B88">
        <v>598.73</v>
      </c>
      <c r="C88">
        <v>143.61</v>
      </c>
      <c r="D88" s="15">
        <f t="shared" si="2"/>
        <v>4.16913863937052</v>
      </c>
      <c r="E88" s="15">
        <v>98.136</v>
      </c>
      <c r="F88" s="26"/>
      <c r="G88" s="16" t="s">
        <v>121</v>
      </c>
      <c r="H88" s="25" t="s">
        <v>128</v>
      </c>
    </row>
    <row r="89" spans="1:8">
      <c r="A89" s="3">
        <v>45673</v>
      </c>
      <c r="B89">
        <v>887.01</v>
      </c>
      <c r="C89">
        <v>274.86</v>
      </c>
      <c r="D89" s="15">
        <f t="shared" si="2"/>
        <v>3.22713381357782</v>
      </c>
      <c r="E89" s="15">
        <v>96.8815</v>
      </c>
      <c r="F89" s="26"/>
      <c r="G89" s="16" t="s">
        <v>123</v>
      </c>
      <c r="H89" s="25" t="s">
        <v>129</v>
      </c>
    </row>
    <row r="90" spans="1:8">
      <c r="A90" s="3">
        <v>45674</v>
      </c>
      <c r="B90">
        <v>493.71</v>
      </c>
      <c r="C90">
        <v>123.3</v>
      </c>
      <c r="D90" s="15">
        <f t="shared" si="2"/>
        <v>4.00413625304136</v>
      </c>
      <c r="E90" s="15">
        <v>74.665</v>
      </c>
      <c r="F90" s="26"/>
      <c r="G90" s="19" t="s">
        <v>125</v>
      </c>
      <c r="H90" s="18" t="s">
        <v>127</v>
      </c>
    </row>
    <row r="91" spans="6:8">
      <c r="F91" s="26"/>
      <c r="G91" s="19" t="s">
        <v>126</v>
      </c>
      <c r="H91" s="17" t="s">
        <v>130</v>
      </c>
    </row>
    <row r="92" spans="6:8">
      <c r="F92" s="26"/>
      <c r="G92" s="21" t="s">
        <v>127</v>
      </c>
      <c r="H92" s="17" t="s">
        <v>122</v>
      </c>
    </row>
    <row r="93" spans="7:8">
      <c r="G93" s="21" t="s">
        <v>124</v>
      </c>
      <c r="H93" s="18" t="s">
        <v>124</v>
      </c>
    </row>
    <row r="94" spans="7:8">
      <c r="G94" s="23" t="s">
        <v>128</v>
      </c>
      <c r="H94" s="20" t="s">
        <v>121</v>
      </c>
    </row>
    <row r="95" spans="7:8">
      <c r="G95" s="23" t="s">
        <v>129</v>
      </c>
      <c r="H95" s="20" t="s">
        <v>123</v>
      </c>
    </row>
    <row r="96" spans="7:8">
      <c r="G96" s="24" t="s">
        <v>130</v>
      </c>
      <c r="H96" s="18" t="s">
        <v>127</v>
      </c>
    </row>
    <row r="97" spans="7:8">
      <c r="G97" s="24" t="s">
        <v>122</v>
      </c>
      <c r="H97" s="22" t="s">
        <v>125</v>
      </c>
    </row>
    <row r="98" spans="7:8">
      <c r="G98" s="16" t="s">
        <v>121</v>
      </c>
      <c r="H98" s="22" t="s">
        <v>126</v>
      </c>
    </row>
    <row r="99" spans="7:8">
      <c r="G99" s="16" t="s">
        <v>123</v>
      </c>
      <c r="H99" s="18" t="s">
        <v>124</v>
      </c>
    </row>
    <row r="100" spans="7:8">
      <c r="G100" s="19" t="s">
        <v>125</v>
      </c>
      <c r="H100" s="25" t="s">
        <v>128</v>
      </c>
    </row>
    <row r="101" spans="7:8">
      <c r="G101" s="19" t="s">
        <v>126</v>
      </c>
      <c r="H101" s="25" t="s">
        <v>129</v>
      </c>
    </row>
    <row r="102" spans="7:8">
      <c r="G102" s="21" t="s">
        <v>127</v>
      </c>
      <c r="H102" s="18" t="s">
        <v>127</v>
      </c>
    </row>
    <row r="103" spans="7:8">
      <c r="G103" s="21" t="s">
        <v>124</v>
      </c>
      <c r="H103" s="17" t="s">
        <v>130</v>
      </c>
    </row>
    <row r="104" spans="7:8">
      <c r="G104" s="23" t="s">
        <v>128</v>
      </c>
      <c r="H104" s="17" t="s">
        <v>122</v>
      </c>
    </row>
    <row r="105" spans="7:8">
      <c r="G105" s="23" t="s">
        <v>129</v>
      </c>
      <c r="H105" s="18" t="s">
        <v>124</v>
      </c>
    </row>
    <row r="106" spans="7:8">
      <c r="G106" s="24" t="s">
        <v>130</v>
      </c>
      <c r="H106" s="20" t="s">
        <v>121</v>
      </c>
    </row>
    <row r="107" spans="7:8">
      <c r="G107" s="24" t="s">
        <v>122</v>
      </c>
      <c r="H107" s="20" t="s">
        <v>123</v>
      </c>
    </row>
    <row r="108" spans="7:8">
      <c r="G108" s="16" t="s">
        <v>121</v>
      </c>
      <c r="H108" s="18" t="s">
        <v>127</v>
      </c>
    </row>
    <row r="109" spans="7:8">
      <c r="G109" s="16" t="s">
        <v>123</v>
      </c>
      <c r="H109" s="22" t="s">
        <v>125</v>
      </c>
    </row>
    <row r="110" spans="7:8">
      <c r="G110" s="19" t="s">
        <v>125</v>
      </c>
      <c r="H110" s="22" t="s">
        <v>126</v>
      </c>
    </row>
    <row r="111" spans="7:8">
      <c r="G111" s="19" t="s">
        <v>126</v>
      </c>
      <c r="H111" s="18" t="s">
        <v>124</v>
      </c>
    </row>
    <row r="112" spans="7:8">
      <c r="G112" s="21" t="s">
        <v>127</v>
      </c>
      <c r="H112" s="25" t="s">
        <v>128</v>
      </c>
    </row>
    <row r="113" spans="7:8">
      <c r="G113" s="21" t="s">
        <v>124</v>
      </c>
      <c r="H113" s="25" t="s">
        <v>129</v>
      </c>
    </row>
    <row r="114" spans="7:8">
      <c r="G114" s="23" t="s">
        <v>128</v>
      </c>
      <c r="H114" s="18" t="s">
        <v>127</v>
      </c>
    </row>
    <row r="115" spans="7:8">
      <c r="G115" s="23" t="s">
        <v>129</v>
      </c>
      <c r="H115" s="17" t="s">
        <v>130</v>
      </c>
    </row>
    <row r="116" spans="7:8">
      <c r="G116" s="24" t="s">
        <v>130</v>
      </c>
      <c r="H116" s="17" t="s">
        <v>122</v>
      </c>
    </row>
    <row r="117" spans="7:8">
      <c r="G117" s="24" t="s">
        <v>122</v>
      </c>
      <c r="H117" s="18" t="s">
        <v>124</v>
      </c>
    </row>
    <row r="118" spans="7:8">
      <c r="G118" s="16" t="s">
        <v>121</v>
      </c>
      <c r="H118" s="20" t="s">
        <v>121</v>
      </c>
    </row>
    <row r="119" spans="7:8">
      <c r="G119" s="16" t="s">
        <v>123</v>
      </c>
      <c r="H119" s="20" t="s">
        <v>123</v>
      </c>
    </row>
    <row r="120" spans="7:8">
      <c r="G120" s="19" t="s">
        <v>125</v>
      </c>
      <c r="H120" s="18" t="s">
        <v>127</v>
      </c>
    </row>
    <row r="121" spans="7:8">
      <c r="G121" s="19" t="s">
        <v>126</v>
      </c>
      <c r="H121" s="22" t="s">
        <v>125</v>
      </c>
    </row>
    <row r="122" spans="7:8">
      <c r="G122" s="21" t="s">
        <v>127</v>
      </c>
      <c r="H122" s="22" t="s">
        <v>126</v>
      </c>
    </row>
    <row r="123" spans="7:8">
      <c r="G123" s="21" t="s">
        <v>124</v>
      </c>
      <c r="H123" s="18" t="s">
        <v>124</v>
      </c>
    </row>
    <row r="124" spans="7:8">
      <c r="G124" s="23" t="s">
        <v>128</v>
      </c>
      <c r="H124" s="25" t="s">
        <v>128</v>
      </c>
    </row>
    <row r="125" spans="7:8">
      <c r="G125" s="23" t="s">
        <v>129</v>
      </c>
      <c r="H125" s="25" t="s">
        <v>129</v>
      </c>
    </row>
    <row r="126" spans="7:8">
      <c r="G126" s="24" t="s">
        <v>130</v>
      </c>
      <c r="H126" s="18" t="s">
        <v>127</v>
      </c>
    </row>
    <row r="127" spans="7:8">
      <c r="G127" s="24" t="s">
        <v>122</v>
      </c>
      <c r="H127" s="17" t="s">
        <v>130</v>
      </c>
    </row>
  </sheetData>
  <mergeCells count="5">
    <mergeCell ref="F58:F64"/>
    <mergeCell ref="F65:F71"/>
    <mergeCell ref="F72:F78"/>
    <mergeCell ref="F79:F85"/>
    <mergeCell ref="F86:F92"/>
  </mergeCells>
  <conditionalFormatting sqref="B$1:B$1048576">
    <cfRule type="top10" dxfId="4" priority="11" percent="1" rank="10"/>
    <cfRule type="top10" dxfId="5" priority="12" rank="10"/>
  </conditionalFormatting>
  <conditionalFormatting sqref="C$1:C$1048576">
    <cfRule type="top10" dxfId="4" priority="13" percent="1" rank="10"/>
    <cfRule type="top10" dxfId="5" priority="14" rank="10"/>
  </conditionalFormatting>
  <conditionalFormatting sqref="D$1:D$1048576">
    <cfRule type="top10" dxfId="4" priority="3" percent="1" rank="10"/>
    <cfRule type="aboveAverage" dxfId="5" priority="4"/>
  </conditionalFormatting>
  <conditionalFormatting sqref="D2:D85">
    <cfRule type="top10" dxfId="5" priority="7" percent="1" rank="10"/>
  </conditionalFormatting>
  <conditionalFormatting sqref="E$1:E$1048576">
    <cfRule type="top10" dxfId="4" priority="1" percent="1" rank="10"/>
    <cfRule type="aboveAverage" dxfId="5" priority="2"/>
    <cfRule type="aboveAverage" dxfId="6" priority="5"/>
    <cfRule type="top10" dxfId="4" priority="6" percent="1" rank="10"/>
  </conditionalFormatting>
  <conditionalFormatting sqref="F65 F72 F79 F93:G1048576 F1:G58 G59:G92 F86">
    <cfRule type="top10" dxfId="4" priority="15" percent="1" rank="10"/>
    <cfRule type="aboveAverage" dxfId="5" priority="16"/>
  </conditionalFormatting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02"/>
  <sheetViews>
    <sheetView tabSelected="1" workbookViewId="0">
      <selection activeCell="A1" sqref="A1:D39"/>
    </sheetView>
  </sheetViews>
  <sheetFormatPr defaultColWidth="9" defaultRowHeight="14"/>
  <cols>
    <col min="1" max="1" width="9.21818181818182" customWidth="1"/>
    <col min="2" max="2" width="22.2181818181818" customWidth="1"/>
    <col min="3" max="3" width="32.1090909090909" customWidth="1"/>
    <col min="4" max="4" width="10.3363636363636"/>
  </cols>
  <sheetData>
    <row r="2" spans="1:4">
      <c r="A2" s="4" t="s">
        <v>131</v>
      </c>
      <c r="B2" s="5" t="s">
        <v>132</v>
      </c>
      <c r="C2" s="6" t="s">
        <v>23</v>
      </c>
      <c r="D2" s="7">
        <v>2.08</v>
      </c>
    </row>
    <row r="3" spans="1:4">
      <c r="A3" s="4" t="s">
        <v>133</v>
      </c>
      <c r="B3" s="5" t="s">
        <v>132</v>
      </c>
      <c r="C3" s="6" t="s">
        <v>33</v>
      </c>
      <c r="D3" s="7">
        <v>1.7</v>
      </c>
    </row>
    <row r="4" spans="1:4">
      <c r="A4" s="4" t="s">
        <v>131</v>
      </c>
      <c r="B4" s="5" t="s">
        <v>134</v>
      </c>
      <c r="C4" s="6" t="s">
        <v>28</v>
      </c>
      <c r="D4" s="7">
        <v>2.22</v>
      </c>
    </row>
    <row r="5" ht="15" spans="1:4">
      <c r="A5" s="4" t="s">
        <v>133</v>
      </c>
      <c r="B5" s="5" t="s">
        <v>134</v>
      </c>
      <c r="C5" s="6" t="s">
        <v>27</v>
      </c>
      <c r="D5" s="8">
        <v>1.8</v>
      </c>
    </row>
    <row r="6" spans="1:4">
      <c r="A6" s="4" t="s">
        <v>135</v>
      </c>
      <c r="B6" s="5" t="s">
        <v>132</v>
      </c>
      <c r="C6" s="6" t="s">
        <v>36</v>
      </c>
      <c r="D6" s="7">
        <v>2.32</v>
      </c>
    </row>
    <row r="7" spans="1:4">
      <c r="A7" s="4" t="s">
        <v>136</v>
      </c>
      <c r="B7" s="5" t="s">
        <v>132</v>
      </c>
      <c r="C7" s="6" t="s">
        <v>40</v>
      </c>
      <c r="D7" s="7">
        <v>1.88</v>
      </c>
    </row>
    <row r="8" spans="1:4">
      <c r="A8" s="4" t="s">
        <v>135</v>
      </c>
      <c r="B8" s="5" t="s">
        <v>134</v>
      </c>
      <c r="C8" s="6" t="s">
        <v>37</v>
      </c>
      <c r="D8" s="7">
        <v>2.54</v>
      </c>
    </row>
    <row r="9" spans="1:4">
      <c r="A9" s="4" t="s">
        <v>136</v>
      </c>
      <c r="B9" s="5" t="s">
        <v>134</v>
      </c>
      <c r="C9" s="6" t="s">
        <v>43</v>
      </c>
      <c r="D9" s="7">
        <v>2.02</v>
      </c>
    </row>
    <row r="10" spans="1:8">
      <c r="A10" s="4" t="s">
        <v>137</v>
      </c>
      <c r="B10" s="5" t="s">
        <v>138</v>
      </c>
      <c r="C10" s="6" t="s">
        <v>12</v>
      </c>
      <c r="D10" s="9">
        <v>0.387</v>
      </c>
      <c r="H10" s="2"/>
    </row>
    <row r="11" spans="1:4">
      <c r="A11" s="4" t="s">
        <v>137</v>
      </c>
      <c r="B11" s="5" t="s">
        <v>139</v>
      </c>
      <c r="C11" s="6" t="s">
        <v>44</v>
      </c>
      <c r="D11" s="9">
        <v>0.397</v>
      </c>
    </row>
    <row r="12" spans="1:4">
      <c r="A12" s="4" t="s">
        <v>140</v>
      </c>
      <c r="B12" s="5" t="s">
        <v>141</v>
      </c>
      <c r="C12" s="6" t="s">
        <v>45</v>
      </c>
      <c r="D12" s="9">
        <v>2.4</v>
      </c>
    </row>
    <row r="13" spans="1:4">
      <c r="A13" s="4" t="s">
        <v>140</v>
      </c>
      <c r="B13" s="5" t="s">
        <v>142</v>
      </c>
      <c r="C13" s="6" t="s">
        <v>46</v>
      </c>
      <c r="D13" s="9">
        <v>2.7</v>
      </c>
    </row>
    <row r="14" spans="1:4">
      <c r="A14" s="4" t="s">
        <v>140</v>
      </c>
      <c r="B14" s="5" t="s">
        <v>138</v>
      </c>
      <c r="C14" s="6" t="s">
        <v>16</v>
      </c>
      <c r="D14" s="9">
        <v>2.7</v>
      </c>
    </row>
    <row r="15" spans="1:4">
      <c r="A15" s="4" t="s">
        <v>140</v>
      </c>
      <c r="B15" s="5" t="s">
        <v>139</v>
      </c>
      <c r="C15" s="6" t="s">
        <v>20</v>
      </c>
      <c r="D15" s="9">
        <v>3</v>
      </c>
    </row>
    <row r="16" spans="3:4">
      <c r="C16" s="1" t="s">
        <v>143</v>
      </c>
      <c r="D16" s="9">
        <v>100</v>
      </c>
    </row>
    <row r="17" spans="1:4">
      <c r="A17" s="10" t="s">
        <v>133</v>
      </c>
      <c r="B17" s="11" t="s">
        <v>144</v>
      </c>
      <c r="C17" s="12" t="s">
        <v>63</v>
      </c>
      <c r="D17">
        <f>3*D3</f>
        <v>5.1</v>
      </c>
    </row>
    <row r="18" spans="1:4">
      <c r="A18" s="10" t="s">
        <v>133</v>
      </c>
      <c r="B18" s="11" t="s">
        <v>145</v>
      </c>
      <c r="C18" s="12" t="s">
        <v>60</v>
      </c>
      <c r="D18">
        <f>2*D3+D5</f>
        <v>5.2</v>
      </c>
    </row>
    <row r="19" spans="1:4">
      <c r="A19" s="10" t="s">
        <v>133</v>
      </c>
      <c r="B19" s="11" t="s">
        <v>146</v>
      </c>
      <c r="C19" s="12" t="s">
        <v>65</v>
      </c>
      <c r="D19">
        <f>D3+2*D5</f>
        <v>5.3</v>
      </c>
    </row>
    <row r="20" spans="1:4">
      <c r="A20" s="10" t="s">
        <v>133</v>
      </c>
      <c r="B20" s="11" t="s">
        <v>147</v>
      </c>
      <c r="C20" s="12" t="s">
        <v>106</v>
      </c>
      <c r="D20">
        <f>3*D5</f>
        <v>5.4</v>
      </c>
    </row>
    <row r="21" spans="1:4">
      <c r="A21" s="10" t="s">
        <v>133</v>
      </c>
      <c r="B21" s="11" t="s">
        <v>148</v>
      </c>
      <c r="C21" s="12" t="s">
        <v>59</v>
      </c>
      <c r="D21">
        <f>3*D3+2*D5</f>
        <v>8.7</v>
      </c>
    </row>
    <row r="22" spans="1:4">
      <c r="A22" s="10" t="s">
        <v>133</v>
      </c>
      <c r="B22" s="11" t="s">
        <v>149</v>
      </c>
      <c r="C22" s="12" t="s">
        <v>57</v>
      </c>
      <c r="D22">
        <f>D3+4*D5</f>
        <v>8.9</v>
      </c>
    </row>
    <row r="23" spans="1:4">
      <c r="A23" s="10" t="s">
        <v>133</v>
      </c>
      <c r="B23" s="11" t="s">
        <v>150</v>
      </c>
      <c r="C23" s="12" t="s">
        <v>79</v>
      </c>
      <c r="D23">
        <f>D3*3+4*D5</f>
        <v>12.3</v>
      </c>
    </row>
    <row r="24" spans="1:4">
      <c r="A24" s="10" t="s">
        <v>131</v>
      </c>
      <c r="B24" s="11" t="s">
        <v>144</v>
      </c>
      <c r="C24" s="12" t="s">
        <v>66</v>
      </c>
      <c r="D24">
        <f>3*D2</f>
        <v>6.24</v>
      </c>
    </row>
    <row r="25" spans="1:4">
      <c r="A25" s="10" t="s">
        <v>131</v>
      </c>
      <c r="B25" s="11" t="s">
        <v>145</v>
      </c>
      <c r="C25" s="12" t="s">
        <v>64</v>
      </c>
      <c r="D25">
        <f>2*D2+D4</f>
        <v>6.38</v>
      </c>
    </row>
    <row r="26" spans="1:4">
      <c r="A26" s="10" t="s">
        <v>131</v>
      </c>
      <c r="B26" s="11" t="s">
        <v>146</v>
      </c>
      <c r="C26" s="12" t="s">
        <v>67</v>
      </c>
      <c r="D26">
        <f>D2+2*D4</f>
        <v>6.52</v>
      </c>
    </row>
    <row r="27" spans="1:4">
      <c r="A27" s="10" t="s">
        <v>131</v>
      </c>
      <c r="B27" s="11" t="s">
        <v>147</v>
      </c>
      <c r="C27" s="12" t="s">
        <v>83</v>
      </c>
      <c r="D27">
        <f>3*D4</f>
        <v>6.66</v>
      </c>
    </row>
    <row r="28" spans="1:4">
      <c r="A28" s="10" t="s">
        <v>131</v>
      </c>
      <c r="B28" s="11" t="s">
        <v>148</v>
      </c>
      <c r="C28" s="12" t="s">
        <v>98</v>
      </c>
      <c r="D28">
        <f>3*D2+D4*2</f>
        <v>10.68</v>
      </c>
    </row>
    <row r="29" spans="1:4">
      <c r="A29" s="10" t="s">
        <v>131</v>
      </c>
      <c r="B29" s="11" t="s">
        <v>149</v>
      </c>
      <c r="C29" s="12" t="s">
        <v>52</v>
      </c>
      <c r="D29">
        <f>D2+D4*4</f>
        <v>10.96</v>
      </c>
    </row>
    <row r="30" spans="1:4">
      <c r="A30" s="10" t="s">
        <v>131</v>
      </c>
      <c r="B30" s="11" t="s">
        <v>150</v>
      </c>
      <c r="C30" s="12" t="s">
        <v>75</v>
      </c>
      <c r="D30">
        <f>3*D2+D4*4</f>
        <v>15.12</v>
      </c>
    </row>
    <row r="31" spans="1:4">
      <c r="A31" s="10" t="s">
        <v>136</v>
      </c>
      <c r="B31" s="11" t="s">
        <v>144</v>
      </c>
      <c r="C31" s="12" t="s">
        <v>81</v>
      </c>
      <c r="D31">
        <f>3*D7</f>
        <v>5.64</v>
      </c>
    </row>
    <row r="32" spans="1:4">
      <c r="A32" s="10" t="s">
        <v>136</v>
      </c>
      <c r="B32" s="11" t="s">
        <v>145</v>
      </c>
      <c r="C32" s="12" t="s">
        <v>89</v>
      </c>
      <c r="D32">
        <f>D7+2*D9</f>
        <v>5.92</v>
      </c>
    </row>
    <row r="33" spans="1:4">
      <c r="A33" s="10" t="s">
        <v>136</v>
      </c>
      <c r="B33" s="11" t="s">
        <v>146</v>
      </c>
      <c r="C33" s="12" t="s">
        <v>115</v>
      </c>
      <c r="D33">
        <f>D7+D9*2</f>
        <v>5.92</v>
      </c>
    </row>
    <row r="34" spans="1:4">
      <c r="A34" s="10" t="s">
        <v>136</v>
      </c>
      <c r="B34" s="11" t="s">
        <v>147</v>
      </c>
      <c r="C34" s="12" t="s">
        <v>72</v>
      </c>
      <c r="D34">
        <f>D9*3</f>
        <v>6.06</v>
      </c>
    </row>
    <row r="35" spans="1:4">
      <c r="A35" s="10" t="s">
        <v>136</v>
      </c>
      <c r="B35" s="11" t="s">
        <v>148</v>
      </c>
      <c r="C35" s="12" t="s">
        <v>53</v>
      </c>
      <c r="D35">
        <f>3*D7+2*D9</f>
        <v>9.68</v>
      </c>
    </row>
    <row r="36" spans="1:4">
      <c r="A36" s="10" t="s">
        <v>136</v>
      </c>
      <c r="B36" s="11" t="s">
        <v>149</v>
      </c>
      <c r="C36" s="12" t="s">
        <v>113</v>
      </c>
      <c r="D36">
        <f>D7+4*D9</f>
        <v>9.96</v>
      </c>
    </row>
    <row r="37" spans="1:4">
      <c r="A37" s="10" t="s">
        <v>136</v>
      </c>
      <c r="B37" s="11" t="s">
        <v>150</v>
      </c>
      <c r="C37" s="12" t="s">
        <v>70</v>
      </c>
      <c r="D37">
        <f>3*D7+4*D9</f>
        <v>13.72</v>
      </c>
    </row>
    <row r="38" spans="1:4">
      <c r="A38" s="10" t="s">
        <v>135</v>
      </c>
      <c r="B38" s="11" t="s">
        <v>144</v>
      </c>
      <c r="C38" s="12" t="s">
        <v>62</v>
      </c>
      <c r="D38">
        <f>3*D6</f>
        <v>6.96</v>
      </c>
    </row>
    <row r="39" spans="1:4">
      <c r="A39" s="10" t="s">
        <v>135</v>
      </c>
      <c r="B39" s="11" t="s">
        <v>145</v>
      </c>
      <c r="C39" s="12" t="s">
        <v>105</v>
      </c>
      <c r="D39">
        <f>D6+D8*2</f>
        <v>7.4</v>
      </c>
    </row>
    <row r="40" spans="1:4">
      <c r="A40" s="10" t="s">
        <v>135</v>
      </c>
      <c r="B40" s="11" t="s">
        <v>146</v>
      </c>
      <c r="C40" s="12" t="s">
        <v>151</v>
      </c>
      <c r="D40">
        <f>D6+D8*2</f>
        <v>7.4</v>
      </c>
    </row>
    <row r="41" spans="1:4">
      <c r="A41" s="10" t="s">
        <v>135</v>
      </c>
      <c r="B41" s="11" t="s">
        <v>147</v>
      </c>
      <c r="C41" s="12" t="s">
        <v>84</v>
      </c>
      <c r="D41">
        <f>3*D8</f>
        <v>7.62</v>
      </c>
    </row>
    <row r="42" spans="1:4">
      <c r="A42" s="10" t="s">
        <v>135</v>
      </c>
      <c r="B42" s="11" t="s">
        <v>148</v>
      </c>
      <c r="C42" s="12" t="s">
        <v>111</v>
      </c>
      <c r="D42">
        <f>3*D6+D8*2</f>
        <v>12.04</v>
      </c>
    </row>
    <row r="43" spans="1:4">
      <c r="A43" s="10" t="s">
        <v>135</v>
      </c>
      <c r="B43" s="11" t="s">
        <v>149</v>
      </c>
      <c r="C43" s="12" t="s">
        <v>73</v>
      </c>
      <c r="D43">
        <f>D6+4*D8</f>
        <v>12.48</v>
      </c>
    </row>
    <row r="44" spans="1:4">
      <c r="A44" s="10" t="s">
        <v>135</v>
      </c>
      <c r="B44" s="11" t="s">
        <v>150</v>
      </c>
      <c r="C44" s="12" t="s">
        <v>69</v>
      </c>
      <c r="D44">
        <f>D6*3+4*D8</f>
        <v>17.12</v>
      </c>
    </row>
    <row r="45" spans="1:4">
      <c r="A45" s="4" t="s">
        <v>137</v>
      </c>
      <c r="B45" s="11" t="s">
        <v>144</v>
      </c>
      <c r="C45" s="12" t="s">
        <v>56</v>
      </c>
      <c r="D45">
        <f>3*D10</f>
        <v>1.161</v>
      </c>
    </row>
    <row r="46" spans="1:4">
      <c r="A46" s="4" t="s">
        <v>137</v>
      </c>
      <c r="B46" s="11" t="s">
        <v>145</v>
      </c>
      <c r="C46" s="12" t="s">
        <v>55</v>
      </c>
      <c r="D46">
        <f>2*D10+D11</f>
        <v>1.171</v>
      </c>
    </row>
    <row r="47" spans="1:4">
      <c r="A47" s="4" t="s">
        <v>137</v>
      </c>
      <c r="B47" s="11" t="s">
        <v>147</v>
      </c>
      <c r="C47" s="12" t="s">
        <v>71</v>
      </c>
      <c r="D47">
        <f>3*D11</f>
        <v>1.191</v>
      </c>
    </row>
    <row r="48" spans="1:4">
      <c r="A48" s="4" t="s">
        <v>137</v>
      </c>
      <c r="B48" s="11" t="s">
        <v>149</v>
      </c>
      <c r="C48" s="12" t="s">
        <v>49</v>
      </c>
      <c r="D48">
        <f>D10+4*D11</f>
        <v>1.975</v>
      </c>
    </row>
    <row r="49" spans="1:4">
      <c r="A49" s="4" t="s">
        <v>137</v>
      </c>
      <c r="B49" s="11" t="s">
        <v>150</v>
      </c>
      <c r="C49" s="12" t="s">
        <v>50</v>
      </c>
      <c r="D49">
        <f>3*D10+4*D11</f>
        <v>2.749</v>
      </c>
    </row>
    <row r="50" spans="1:4">
      <c r="A50" s="13" t="s">
        <v>152</v>
      </c>
      <c r="B50" s="11" t="s">
        <v>144</v>
      </c>
      <c r="C50" s="12" t="s">
        <v>80</v>
      </c>
      <c r="D50">
        <f>3*D14</f>
        <v>8.1</v>
      </c>
    </row>
    <row r="51" spans="1:4">
      <c r="A51" s="13" t="s">
        <v>152</v>
      </c>
      <c r="B51" s="11" t="s">
        <v>145</v>
      </c>
      <c r="C51" s="12" t="s">
        <v>58</v>
      </c>
      <c r="D51">
        <f>2*D14+D15</f>
        <v>8.4</v>
      </c>
    </row>
    <row r="52" spans="1:4">
      <c r="A52" s="13" t="s">
        <v>152</v>
      </c>
      <c r="B52" s="11" t="s">
        <v>147</v>
      </c>
      <c r="C52" s="12" t="s">
        <v>51</v>
      </c>
      <c r="D52">
        <f>3*D15</f>
        <v>9</v>
      </c>
    </row>
    <row r="53" spans="1:4">
      <c r="A53" s="13" t="s">
        <v>152</v>
      </c>
      <c r="B53" s="11" t="s">
        <v>149</v>
      </c>
      <c r="C53" s="12" t="s">
        <v>54</v>
      </c>
      <c r="D53">
        <f>D14+4*D15</f>
        <v>14.7</v>
      </c>
    </row>
    <row r="54" spans="1:4">
      <c r="A54" s="13" t="s">
        <v>152</v>
      </c>
      <c r="B54" s="11" t="s">
        <v>150</v>
      </c>
      <c r="C54" s="12" t="s">
        <v>61</v>
      </c>
      <c r="D54">
        <f>3*D14+4*D15</f>
        <v>20.1</v>
      </c>
    </row>
    <row r="55" spans="1:4">
      <c r="A55" s="13" t="s">
        <v>153</v>
      </c>
      <c r="B55" s="11" t="s">
        <v>144</v>
      </c>
      <c r="C55" s="12" t="s">
        <v>99</v>
      </c>
      <c r="D55">
        <f>3*D12</f>
        <v>7.2</v>
      </c>
    </row>
    <row r="56" spans="1:4">
      <c r="A56" s="13" t="s">
        <v>153</v>
      </c>
      <c r="B56" s="11" t="s">
        <v>145</v>
      </c>
      <c r="C56" s="12" t="s">
        <v>102</v>
      </c>
      <c r="D56">
        <f>2*D12+D13</f>
        <v>7.5</v>
      </c>
    </row>
    <row r="57" spans="1:4">
      <c r="A57" s="13" t="s">
        <v>153</v>
      </c>
      <c r="B57" s="11" t="s">
        <v>147</v>
      </c>
      <c r="C57" s="12" t="s">
        <v>154</v>
      </c>
      <c r="D57">
        <f>3*D13</f>
        <v>8.1</v>
      </c>
    </row>
    <row r="58" spans="1:4">
      <c r="A58" s="13" t="s">
        <v>153</v>
      </c>
      <c r="B58" s="11" t="s">
        <v>149</v>
      </c>
      <c r="C58" s="12" t="s">
        <v>82</v>
      </c>
      <c r="D58">
        <f>D12+4*D13</f>
        <v>13.2</v>
      </c>
    </row>
    <row r="59" spans="1:4">
      <c r="A59" s="13" t="s">
        <v>153</v>
      </c>
      <c r="B59" s="11" t="s">
        <v>150</v>
      </c>
      <c r="C59" s="12" t="s">
        <v>68</v>
      </c>
      <c r="D59">
        <f>3*D12+4*D13</f>
        <v>18</v>
      </c>
    </row>
    <row r="61" spans="1:4">
      <c r="A61" s="10" t="s">
        <v>155</v>
      </c>
      <c r="B61" s="11" t="s">
        <v>156</v>
      </c>
      <c r="C61" s="1" t="s">
        <v>157</v>
      </c>
      <c r="D61">
        <f>0.25*105</f>
        <v>26.25</v>
      </c>
    </row>
    <row r="62" spans="1:4">
      <c r="A62" s="10" t="s">
        <v>155</v>
      </c>
      <c r="B62" s="11" t="s">
        <v>158</v>
      </c>
      <c r="C62" s="1" t="s">
        <v>159</v>
      </c>
      <c r="D62">
        <f>0.39*105</f>
        <v>40.95</v>
      </c>
    </row>
    <row r="63" spans="1:4">
      <c r="A63" s="10" t="s">
        <v>155</v>
      </c>
      <c r="B63" s="11" t="s">
        <v>160</v>
      </c>
      <c r="C63" s="1" t="s">
        <v>161</v>
      </c>
      <c r="D63">
        <f>0.6*105</f>
        <v>63</v>
      </c>
    </row>
    <row r="64" spans="1:4">
      <c r="A64" s="10" t="s">
        <v>155</v>
      </c>
      <c r="B64" s="11" t="s">
        <v>162</v>
      </c>
      <c r="C64" s="1" t="s">
        <v>163</v>
      </c>
      <c r="D64">
        <f>0.39*8</f>
        <v>3.12</v>
      </c>
    </row>
    <row r="65" spans="1:4">
      <c r="A65" s="10" t="s">
        <v>155</v>
      </c>
      <c r="B65" s="11" t="s">
        <v>164</v>
      </c>
      <c r="C65" s="1" t="s">
        <v>165</v>
      </c>
      <c r="D65">
        <f>0.6*8</f>
        <v>4.8</v>
      </c>
    </row>
    <row r="66" spans="1:4">
      <c r="A66" s="10" t="s">
        <v>166</v>
      </c>
      <c r="B66" s="11" t="s">
        <v>156</v>
      </c>
      <c r="C66" s="1" t="s">
        <v>167</v>
      </c>
      <c r="D66">
        <f>0.23*105</f>
        <v>24.15</v>
      </c>
    </row>
    <row r="67" spans="1:4">
      <c r="A67" s="10" t="s">
        <v>166</v>
      </c>
      <c r="B67" s="11" t="s">
        <v>158</v>
      </c>
      <c r="C67" s="1" t="s">
        <v>168</v>
      </c>
      <c r="D67">
        <f>0.36*105</f>
        <v>37.8</v>
      </c>
    </row>
    <row r="68" spans="1:4">
      <c r="A68" s="10" t="s">
        <v>166</v>
      </c>
      <c r="B68" s="11" t="s">
        <v>160</v>
      </c>
      <c r="C68" s="1" t="s">
        <v>169</v>
      </c>
      <c r="D68">
        <f>0.55*105</f>
        <v>57.75</v>
      </c>
    </row>
    <row r="69" spans="1:4">
      <c r="A69" s="10" t="s">
        <v>166</v>
      </c>
      <c r="B69" s="11" t="s">
        <v>162</v>
      </c>
      <c r="C69" s="1" t="s">
        <v>170</v>
      </c>
      <c r="D69">
        <f>0.36*8</f>
        <v>2.88</v>
      </c>
    </row>
    <row r="70" spans="1:4">
      <c r="A70" s="10" t="s">
        <v>166</v>
      </c>
      <c r="B70" s="11" t="s">
        <v>164</v>
      </c>
      <c r="C70" s="1" t="s">
        <v>171</v>
      </c>
      <c r="D70">
        <f>0.55*8</f>
        <v>4.4</v>
      </c>
    </row>
    <row r="71" spans="1:4">
      <c r="A71" s="10" t="s">
        <v>172</v>
      </c>
      <c r="B71" s="11" t="s">
        <v>156</v>
      </c>
      <c r="C71" s="1" t="s">
        <v>173</v>
      </c>
      <c r="D71">
        <f>0.27*105</f>
        <v>28.35</v>
      </c>
    </row>
    <row r="72" spans="1:4">
      <c r="A72" s="10" t="s">
        <v>172</v>
      </c>
      <c r="B72" s="11" t="s">
        <v>158</v>
      </c>
      <c r="C72" s="1" t="s">
        <v>174</v>
      </c>
      <c r="D72">
        <f>0.42*105</f>
        <v>44.1</v>
      </c>
    </row>
    <row r="73" spans="1:4">
      <c r="A73" s="10" t="s">
        <v>172</v>
      </c>
      <c r="B73" s="11" t="s">
        <v>160</v>
      </c>
      <c r="C73" s="1" t="s">
        <v>175</v>
      </c>
      <c r="D73">
        <f>0.65*105</f>
        <v>68.25</v>
      </c>
    </row>
    <row r="74" spans="1:4">
      <c r="A74" s="10" t="s">
        <v>172</v>
      </c>
      <c r="B74" s="11" t="s">
        <v>162</v>
      </c>
      <c r="C74" s="1" t="s">
        <v>176</v>
      </c>
      <c r="D74">
        <f>0.42*8</f>
        <v>3.36</v>
      </c>
    </row>
    <row r="75" spans="1:4">
      <c r="A75" s="10" t="s">
        <v>172</v>
      </c>
      <c r="B75" s="11" t="s">
        <v>164</v>
      </c>
      <c r="C75" s="1" t="s">
        <v>177</v>
      </c>
      <c r="D75">
        <f>0.65*8</f>
        <v>5.2</v>
      </c>
    </row>
    <row r="77" spans="1:8">
      <c r="A77" s="10" t="s">
        <v>178</v>
      </c>
      <c r="B77" s="11" t="s">
        <v>179</v>
      </c>
      <c r="C77" s="1" t="s">
        <v>76</v>
      </c>
      <c r="D77">
        <v>1.7856</v>
      </c>
      <c r="F77">
        <f>(8+12+18+24)*0.001</f>
        <v>0.062</v>
      </c>
      <c r="G77">
        <f t="shared" ref="G77:G82" si="0">F77*12</f>
        <v>0.744</v>
      </c>
      <c r="H77">
        <f t="shared" ref="H77:H82" si="1">G77*2.4</f>
        <v>1.7856</v>
      </c>
    </row>
    <row r="78" spans="1:8">
      <c r="A78" s="10" t="s">
        <v>178</v>
      </c>
      <c r="B78" s="14" t="s">
        <v>180</v>
      </c>
      <c r="C78" s="1" t="s">
        <v>77</v>
      </c>
      <c r="D78">
        <v>0.4032</v>
      </c>
      <c r="F78">
        <f>(6+8)*0.001</f>
        <v>0.014</v>
      </c>
      <c r="G78">
        <f t="shared" si="0"/>
        <v>0.168</v>
      </c>
      <c r="H78">
        <f t="shared" si="1"/>
        <v>0.4032</v>
      </c>
    </row>
    <row r="79" spans="1:8">
      <c r="A79" s="10" t="s">
        <v>178</v>
      </c>
      <c r="B79" s="11" t="s">
        <v>181</v>
      </c>
      <c r="C79" s="1" t="s">
        <v>182</v>
      </c>
      <c r="D79">
        <v>1.584</v>
      </c>
      <c r="F79">
        <f>(10+12+15+18)*0.001</f>
        <v>0.055</v>
      </c>
      <c r="G79">
        <f t="shared" si="0"/>
        <v>0.66</v>
      </c>
      <c r="H79">
        <f t="shared" si="1"/>
        <v>1.584</v>
      </c>
    </row>
    <row r="80" spans="1:8">
      <c r="A80" s="10" t="s">
        <v>178</v>
      </c>
      <c r="B80" s="11" t="s">
        <v>183</v>
      </c>
      <c r="C80" s="1" t="s">
        <v>85</v>
      </c>
      <c r="D80">
        <v>2.1312</v>
      </c>
      <c r="F80">
        <f>(20+24+30)*0.001</f>
        <v>0.074</v>
      </c>
      <c r="G80">
        <f t="shared" si="0"/>
        <v>0.888</v>
      </c>
      <c r="H80">
        <f t="shared" si="1"/>
        <v>2.1312</v>
      </c>
    </row>
    <row r="81" spans="1:8">
      <c r="A81" s="10" t="s">
        <v>178</v>
      </c>
      <c r="B81">
        <v>6</v>
      </c>
      <c r="C81" s="1" t="s">
        <v>78</v>
      </c>
      <c r="D81">
        <v>0.1728</v>
      </c>
      <c r="F81">
        <f>6*0.001</f>
        <v>0.006</v>
      </c>
      <c r="G81">
        <f t="shared" si="0"/>
        <v>0.072</v>
      </c>
      <c r="H81">
        <f t="shared" si="1"/>
        <v>0.1728</v>
      </c>
    </row>
    <row r="82" spans="1:8">
      <c r="A82" s="10" t="s">
        <v>178</v>
      </c>
      <c r="B82" s="11" t="s">
        <v>184</v>
      </c>
      <c r="C82" s="1" t="s">
        <v>86</v>
      </c>
      <c r="D82">
        <v>4.1184</v>
      </c>
      <c r="F82">
        <f>(6+8+10+12+15+18+20+24+30)*0.001</f>
        <v>0.143</v>
      </c>
      <c r="G82">
        <f t="shared" si="0"/>
        <v>1.716</v>
      </c>
      <c r="H82">
        <f t="shared" si="1"/>
        <v>4.1184</v>
      </c>
    </row>
    <row r="83" spans="3:8">
      <c r="C83" s="1" t="s">
        <v>114</v>
      </c>
      <c r="D83">
        <f>0.2304</f>
        <v>0.2304</v>
      </c>
      <c r="F83">
        <f>8*0.001</f>
        <v>0.008</v>
      </c>
      <c r="G83">
        <f t="shared" ref="G83" si="2">F83*12</f>
        <v>0.096</v>
      </c>
      <c r="H83">
        <f t="shared" ref="H83" si="3">G83*2.4</f>
        <v>0.2304</v>
      </c>
    </row>
    <row r="84" spans="3:4">
      <c r="C84" s="1" t="s">
        <v>87</v>
      </c>
      <c r="D84">
        <f>1.7/20*1.5</f>
        <v>0.1275</v>
      </c>
    </row>
    <row r="85" spans="3:12">
      <c r="C85" s="1" t="s">
        <v>88</v>
      </c>
      <c r="D85">
        <f>1.8/20*1.5</f>
        <v>0.135</v>
      </c>
      <c r="F85">
        <f>8.49*0.7-1</f>
        <v>4.943</v>
      </c>
      <c r="G85">
        <f>F85/6</f>
        <v>0.823833333333333</v>
      </c>
      <c r="H85">
        <f>G85*6</f>
        <v>4.943</v>
      </c>
      <c r="I85">
        <f>H85+1</f>
        <v>5.943</v>
      </c>
      <c r="J85">
        <f>I85/0.7</f>
        <v>8.49</v>
      </c>
      <c r="L85">
        <f>J85*0.7-1</f>
        <v>4.943</v>
      </c>
    </row>
    <row r="86" spans="3:12">
      <c r="C86" s="1" t="s">
        <v>90</v>
      </c>
      <c r="D86">
        <f>0.5+0.8+1.3</f>
        <v>2.6</v>
      </c>
      <c r="H86">
        <f>G85*8</f>
        <v>6.59066666666667</v>
      </c>
      <c r="I86">
        <f t="shared" ref="I86:I93" si="4">H86+1</f>
        <v>7.59066666666667</v>
      </c>
      <c r="J86">
        <f t="shared" ref="J86:J93" si="5">I86/0.7</f>
        <v>10.8438095238095</v>
      </c>
      <c r="K86">
        <f>J86*0.9</f>
        <v>9.75942857142857</v>
      </c>
      <c r="L86">
        <f>K86*0.7-1</f>
        <v>5.8316</v>
      </c>
    </row>
    <row r="87" spans="3:12">
      <c r="C87" s="1" t="s">
        <v>92</v>
      </c>
      <c r="D87">
        <f>0.5+0.8+1.7</f>
        <v>3</v>
      </c>
      <c r="H87">
        <f>G85*10</f>
        <v>8.23833333333333</v>
      </c>
      <c r="I87">
        <f t="shared" si="4"/>
        <v>9.23833333333333</v>
      </c>
      <c r="J87">
        <f t="shared" si="5"/>
        <v>13.197619047619</v>
      </c>
      <c r="K87">
        <f t="shared" ref="K87:K93" si="6">J87*0.9</f>
        <v>11.8778571428571</v>
      </c>
      <c r="L87">
        <f t="shared" ref="L87:L93" si="7">K87*0.7-1</f>
        <v>7.3145</v>
      </c>
    </row>
    <row r="88" spans="3:12">
      <c r="C88" s="1" t="s">
        <v>91</v>
      </c>
      <c r="D88">
        <f>0.6+0.9+1.5</f>
        <v>3</v>
      </c>
      <c r="H88">
        <f>G85*12</f>
        <v>9.886</v>
      </c>
      <c r="I88">
        <f t="shared" si="4"/>
        <v>10.886</v>
      </c>
      <c r="J88">
        <f t="shared" si="5"/>
        <v>15.5514285714286</v>
      </c>
      <c r="K88">
        <f t="shared" si="6"/>
        <v>13.9962857142857</v>
      </c>
      <c r="L88">
        <f t="shared" si="7"/>
        <v>8.7974</v>
      </c>
    </row>
    <row r="89" spans="3:12">
      <c r="C89" s="1" t="s">
        <v>112</v>
      </c>
      <c r="D89">
        <f>0.6+0.9+1.8</f>
        <v>3.3</v>
      </c>
      <c r="H89">
        <f>G85*15</f>
        <v>12.3575</v>
      </c>
      <c r="I89">
        <f t="shared" si="4"/>
        <v>13.3575</v>
      </c>
      <c r="J89">
        <f t="shared" si="5"/>
        <v>19.0821428571429</v>
      </c>
      <c r="K89">
        <f t="shared" si="6"/>
        <v>17.1739285714286</v>
      </c>
      <c r="L89">
        <f t="shared" si="7"/>
        <v>11.02175</v>
      </c>
    </row>
    <row r="90" spans="3:12">
      <c r="C90" s="1" t="s">
        <v>93</v>
      </c>
      <c r="D90">
        <f>0.5+0.8+1+1.3+0.39*3</f>
        <v>4.77</v>
      </c>
      <c r="H90">
        <f>G85*18</f>
        <v>14.829</v>
      </c>
      <c r="I90">
        <f t="shared" si="4"/>
        <v>15.829</v>
      </c>
      <c r="J90">
        <f t="shared" si="5"/>
        <v>22.6128571428571</v>
      </c>
      <c r="K90">
        <f t="shared" si="6"/>
        <v>20.3515714285714</v>
      </c>
      <c r="L90">
        <f t="shared" si="7"/>
        <v>13.2461</v>
      </c>
    </row>
    <row r="91" spans="3:12">
      <c r="C91" s="1" t="s">
        <v>94</v>
      </c>
      <c r="D91">
        <f>1.3*3</f>
        <v>3.9</v>
      </c>
      <c r="H91">
        <f>G85*20</f>
        <v>16.4766666666667</v>
      </c>
      <c r="I91">
        <f t="shared" si="4"/>
        <v>17.4766666666667</v>
      </c>
      <c r="J91">
        <f t="shared" si="5"/>
        <v>24.9666666666667</v>
      </c>
      <c r="K91">
        <f t="shared" si="6"/>
        <v>22.47</v>
      </c>
      <c r="L91">
        <f t="shared" si="7"/>
        <v>14.729</v>
      </c>
    </row>
    <row r="92" spans="3:12">
      <c r="C92" s="1" t="s">
        <v>95</v>
      </c>
      <c r="D92">
        <f>0.8*3</f>
        <v>2.4</v>
      </c>
      <c r="H92">
        <f>G85*24</f>
        <v>19.772</v>
      </c>
      <c r="I92">
        <f t="shared" si="4"/>
        <v>20.772</v>
      </c>
      <c r="J92">
        <f t="shared" si="5"/>
        <v>29.6742857142857</v>
      </c>
      <c r="K92">
        <f t="shared" si="6"/>
        <v>26.7068571428571</v>
      </c>
      <c r="L92">
        <f t="shared" si="7"/>
        <v>17.6948</v>
      </c>
    </row>
    <row r="93" spans="3:12">
      <c r="C93" s="1" t="s">
        <v>96</v>
      </c>
      <c r="D93">
        <f>1.7*3</f>
        <v>5.1</v>
      </c>
      <c r="H93">
        <f>G85*30</f>
        <v>24.715</v>
      </c>
      <c r="I93">
        <f t="shared" si="4"/>
        <v>25.715</v>
      </c>
      <c r="J93">
        <f t="shared" si="5"/>
        <v>36.7357142857143</v>
      </c>
      <c r="K93">
        <f t="shared" si="6"/>
        <v>33.0621428571429</v>
      </c>
      <c r="L93">
        <f t="shared" si="7"/>
        <v>22.1435</v>
      </c>
    </row>
    <row r="94" spans="3:4">
      <c r="C94" s="1" t="s">
        <v>97</v>
      </c>
      <c r="D94">
        <f>1.5*3</f>
        <v>4.5</v>
      </c>
    </row>
    <row r="95" spans="3:4">
      <c r="C95" s="1" t="s">
        <v>100</v>
      </c>
      <c r="D95">
        <f>1.3*3+0.39*3</f>
        <v>5.07</v>
      </c>
    </row>
    <row r="96" spans="3:9">
      <c r="C96" s="1" t="s">
        <v>101</v>
      </c>
      <c r="D96">
        <f>0.8+1+1.3+0.39*3</f>
        <v>4.27</v>
      </c>
      <c r="G96">
        <f>8+12+18+24</f>
        <v>62</v>
      </c>
      <c r="H96">
        <f>(23.69+1)/0.7</f>
        <v>35.2714285714286</v>
      </c>
      <c r="I96">
        <f>H96/G96</f>
        <v>0.56889400921659</v>
      </c>
    </row>
    <row r="97" spans="3:9">
      <c r="C97" s="1" t="s">
        <v>103</v>
      </c>
      <c r="D97">
        <f>1.2*3</f>
        <v>3.6</v>
      </c>
      <c r="G97">
        <f>10+12+15+18</f>
        <v>55</v>
      </c>
      <c r="H97">
        <f>I97*0.7-1</f>
        <v>20.9024193548387</v>
      </c>
      <c r="I97">
        <f>I96*55</f>
        <v>31.2891705069124</v>
      </c>
    </row>
    <row r="98" spans="3:9">
      <c r="C98" s="1" t="s">
        <v>104</v>
      </c>
      <c r="D98">
        <f>0.9*3</f>
        <v>2.7</v>
      </c>
      <c r="G98">
        <v>10.49</v>
      </c>
      <c r="H98" s="2">
        <f>10.49/3.4</f>
        <v>3.08529411764706</v>
      </c>
      <c r="I98">
        <f>H98+3.5+0.39*10</f>
        <v>10.4852941176471</v>
      </c>
    </row>
    <row r="99" spans="3:9">
      <c r="C99" s="1" t="s">
        <v>107</v>
      </c>
      <c r="D99">
        <f>3</f>
        <v>3</v>
      </c>
      <c r="G99">
        <v>11.49</v>
      </c>
      <c r="H99" s="2">
        <f>11.49/2.9</f>
        <v>3.96206896551724</v>
      </c>
      <c r="I99">
        <f>H99+3.5+0.39*10</f>
        <v>11.3620689655172</v>
      </c>
    </row>
    <row r="100" spans="3:4">
      <c r="C100" s="1" t="s">
        <v>108</v>
      </c>
      <c r="D100">
        <f>2.4+0.39*3</f>
        <v>3.57</v>
      </c>
    </row>
    <row r="101" spans="3:4">
      <c r="C101" s="1" t="s">
        <v>109</v>
      </c>
      <c r="D101">
        <f>3*D84+4*D85</f>
        <v>0.9225</v>
      </c>
    </row>
    <row r="102" spans="3:9">
      <c r="C102" s="1" t="s">
        <v>110</v>
      </c>
      <c r="D102">
        <v>0.6912</v>
      </c>
      <c r="G102" s="2">
        <f>24*0.001</f>
        <v>0.024</v>
      </c>
      <c r="H102">
        <f>G102*12</f>
        <v>0.288</v>
      </c>
      <c r="I102">
        <f t="shared" ref="I102" si="8">H102*2.4</f>
        <v>0.6912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E13" sqref="E13"/>
    </sheetView>
  </sheetViews>
  <sheetFormatPr defaultColWidth="9" defaultRowHeight="14" outlineLevelCol="5"/>
  <cols>
    <col min="1" max="1" width="11.2181818181818" style="1" customWidth="1"/>
    <col min="2" max="2" width="11.5545454545455" customWidth="1"/>
    <col min="3" max="3" width="11.6636363636364" customWidth="1"/>
    <col min="4" max="4" width="12.7818181818182" customWidth="1"/>
    <col min="5" max="5" width="11.6636363636364" customWidth="1"/>
  </cols>
  <sheetData>
    <row r="1" s="1" customFormat="1" spans="2:5">
      <c r="B1" s="1" t="s">
        <v>185</v>
      </c>
      <c r="C1" s="1" t="s">
        <v>186</v>
      </c>
      <c r="D1" s="1" t="s">
        <v>187</v>
      </c>
      <c r="E1" s="1" t="s">
        <v>188</v>
      </c>
    </row>
    <row r="2" spans="1:4">
      <c r="A2" s="1" t="s">
        <v>9</v>
      </c>
      <c r="B2">
        <v>1012.01</v>
      </c>
      <c r="C2">
        <v>1631.64</v>
      </c>
      <c r="D2">
        <f>SUM(流水!E287:E588)</f>
        <v>3182.33</v>
      </c>
    </row>
    <row r="3" spans="1:4">
      <c r="A3" s="1" t="s">
        <v>13</v>
      </c>
      <c r="B3">
        <f>784.93-400</f>
        <v>384.93</v>
      </c>
      <c r="C3">
        <f>1276.973-600</f>
        <v>676.973</v>
      </c>
      <c r="D3">
        <f>SUM(流水!D287:D588)-D6</f>
        <v>-48.8579999999988</v>
      </c>
    </row>
    <row r="4" spans="1:4">
      <c r="A4" s="1" t="s">
        <v>17</v>
      </c>
      <c r="B4">
        <v>200</v>
      </c>
      <c r="C4">
        <f>189+182</f>
        <v>371</v>
      </c>
      <c r="D4">
        <f>SUM(流水!F287:F588)</f>
        <v>710.5</v>
      </c>
    </row>
    <row r="5" spans="1:4">
      <c r="A5" s="1" t="s">
        <v>24</v>
      </c>
      <c r="B5">
        <f>B3+B4</f>
        <v>584.93</v>
      </c>
      <c r="C5">
        <f>C3+C4</f>
        <v>1047.973</v>
      </c>
      <c r="D5">
        <f>D3+D4</f>
        <v>661.642000000001</v>
      </c>
    </row>
    <row r="6" spans="1:4">
      <c r="A6" s="1" t="s">
        <v>189</v>
      </c>
      <c r="B6">
        <v>357.44</v>
      </c>
      <c r="C6">
        <v>662.03</v>
      </c>
      <c r="D6">
        <v>1308.35</v>
      </c>
    </row>
    <row r="7" spans="1:4">
      <c r="A7" s="1" t="s">
        <v>38</v>
      </c>
      <c r="B7">
        <f>B2-B5</f>
        <v>427.08</v>
      </c>
      <c r="C7">
        <f>C2-C5</f>
        <v>583.667</v>
      </c>
      <c r="D7">
        <f>D2-D5</f>
        <v>2520.688</v>
      </c>
    </row>
    <row r="8" spans="1:4">
      <c r="A8" s="1" t="s">
        <v>41</v>
      </c>
      <c r="B8">
        <f>B7-B6</f>
        <v>69.64</v>
      </c>
      <c r="C8">
        <f>C7-C6</f>
        <v>-78.3629999999998</v>
      </c>
      <c r="D8">
        <f>D7-D6</f>
        <v>1212.338</v>
      </c>
    </row>
    <row r="9" spans="1:4">
      <c r="A9" s="1" t="s">
        <v>117</v>
      </c>
      <c r="B9">
        <f>B2/B6</f>
        <v>2.83127238137869</v>
      </c>
      <c r="C9">
        <f>C2/C6</f>
        <v>2.4646013020558</v>
      </c>
      <c r="D9">
        <f>D2/D6</f>
        <v>2.43232315511904</v>
      </c>
    </row>
    <row r="17" spans="6:6">
      <c r="F17" s="2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E17" sqref="E17"/>
    </sheetView>
  </sheetViews>
  <sheetFormatPr defaultColWidth="9" defaultRowHeight="14"/>
  <cols>
    <col min="2" max="2" width="9.55454545454545" customWidth="1"/>
    <col min="3" max="3" width="1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9</v>
      </c>
      <c r="M1">
        <f>SUM(E:E)</f>
        <v>517.42</v>
      </c>
    </row>
    <row r="2" spans="1:13">
      <c r="A2" s="2" t="s">
        <v>47</v>
      </c>
      <c r="B2" s="3">
        <v>45600</v>
      </c>
      <c r="C2" t="s">
        <v>165</v>
      </c>
      <c r="D2">
        <f>VLOOKUP(C2,成本价!$C$61:$D$75,2,0)</f>
        <v>4.8</v>
      </c>
      <c r="E2">
        <v>5.42</v>
      </c>
      <c r="F2">
        <v>3.5</v>
      </c>
      <c r="G2">
        <f>E2-D2-F2</f>
        <v>-2.88</v>
      </c>
      <c r="L2" s="1" t="s">
        <v>13</v>
      </c>
      <c r="M2">
        <f>SUM(D:D)</f>
        <v>379.56</v>
      </c>
    </row>
    <row r="3" spans="2:13">
      <c r="B3" s="3">
        <v>45602</v>
      </c>
      <c r="C3" t="s">
        <v>169</v>
      </c>
      <c r="D3">
        <f>VLOOKUP(C3,成本价!$C$61:$D$75,2,0)</f>
        <v>57.75</v>
      </c>
      <c r="E3">
        <v>77.5</v>
      </c>
      <c r="F3">
        <v>3.5</v>
      </c>
      <c r="G3">
        <f t="shared" ref="G3:G13" si="0">E3-D3-F3</f>
        <v>16.25</v>
      </c>
      <c r="L3" s="1" t="s">
        <v>17</v>
      </c>
      <c r="M3">
        <f>SUM(F:F)</f>
        <v>48.5</v>
      </c>
    </row>
    <row r="4" spans="2:7">
      <c r="B4" s="3">
        <v>45603</v>
      </c>
      <c r="C4" t="s">
        <v>171</v>
      </c>
      <c r="D4">
        <f>VLOOKUP(C4,成本价!$C$61:$D$75,2,0)</f>
        <v>4.4</v>
      </c>
      <c r="E4">
        <v>6.9</v>
      </c>
      <c r="F4">
        <v>3.5</v>
      </c>
      <c r="G4">
        <f t="shared" si="0"/>
        <v>-1</v>
      </c>
    </row>
    <row r="5" spans="2:13">
      <c r="B5" s="3">
        <v>45603</v>
      </c>
      <c r="C5" t="s">
        <v>176</v>
      </c>
      <c r="D5">
        <f>VLOOKUP(C5,成本价!$C$61:$D$75,2,0)</f>
        <v>3.36</v>
      </c>
      <c r="E5">
        <v>6.94</v>
      </c>
      <c r="F5">
        <v>3.5</v>
      </c>
      <c r="G5">
        <f t="shared" si="0"/>
        <v>0.0800000000000005</v>
      </c>
      <c r="L5" s="1" t="s">
        <v>24</v>
      </c>
      <c r="M5">
        <f>M2+M3</f>
        <v>428.06</v>
      </c>
    </row>
    <row r="6" spans="2:7">
      <c r="B6" s="3">
        <v>45604</v>
      </c>
      <c r="C6" t="s">
        <v>175</v>
      </c>
      <c r="D6">
        <f>VLOOKUP(C6,成本价!$C$61:$D$75,2,0)</f>
        <v>68.25</v>
      </c>
      <c r="E6">
        <v>83.8</v>
      </c>
      <c r="F6">
        <v>3.5</v>
      </c>
      <c r="G6">
        <f t="shared" si="0"/>
        <v>12.05</v>
      </c>
    </row>
    <row r="7" spans="2:7">
      <c r="B7" s="3">
        <v>45605</v>
      </c>
      <c r="C7" t="s">
        <v>161</v>
      </c>
      <c r="D7">
        <f>VLOOKUP(C7,成本价!$C$61:$D$75,2,0)</f>
        <v>63</v>
      </c>
      <c r="E7">
        <v>83.7</v>
      </c>
      <c r="F7">
        <v>3.5</v>
      </c>
      <c r="G7">
        <f t="shared" si="0"/>
        <v>17.2</v>
      </c>
    </row>
    <row r="8" spans="2:7">
      <c r="B8" s="3">
        <v>45605</v>
      </c>
      <c r="C8" t="s">
        <v>177</v>
      </c>
      <c r="D8">
        <f>VLOOKUP(C8,成本价!$C$61:$D$75,2,0)</f>
        <v>5.2</v>
      </c>
      <c r="E8">
        <v>6.94</v>
      </c>
      <c r="F8">
        <v>3.5</v>
      </c>
      <c r="G8">
        <f t="shared" si="0"/>
        <v>-1.76</v>
      </c>
    </row>
    <row r="9" spans="2:13">
      <c r="B9" s="3">
        <v>45605</v>
      </c>
      <c r="C9" t="s">
        <v>165</v>
      </c>
      <c r="D9">
        <f>VLOOKUP(C9,成本价!$C$61:$D$75,2,0)</f>
        <v>4.8</v>
      </c>
      <c r="E9">
        <v>7.42</v>
      </c>
      <c r="F9">
        <v>3.5</v>
      </c>
      <c r="G9">
        <f t="shared" si="0"/>
        <v>-0.88</v>
      </c>
      <c r="L9" s="1" t="s">
        <v>189</v>
      </c>
      <c r="M9">
        <v>0</v>
      </c>
    </row>
    <row r="10" spans="2:7">
      <c r="B10" s="3">
        <v>45605</v>
      </c>
      <c r="C10" t="s">
        <v>157</v>
      </c>
      <c r="D10">
        <f>VLOOKUP(C10,成本价!$C$61:$D$75,2,0)</f>
        <v>26.25</v>
      </c>
      <c r="E10">
        <v>45.9</v>
      </c>
      <c r="F10">
        <v>3.5</v>
      </c>
      <c r="G10">
        <f t="shared" si="0"/>
        <v>16.15</v>
      </c>
    </row>
    <row r="11" spans="2:13">
      <c r="B11" s="3">
        <v>45605</v>
      </c>
      <c r="C11" t="s">
        <v>161</v>
      </c>
      <c r="D11">
        <f>VLOOKUP(C11,成本价!$C$61:$D$75,2,0)</f>
        <v>63</v>
      </c>
      <c r="E11">
        <v>83.7</v>
      </c>
      <c r="F11">
        <v>3.5</v>
      </c>
      <c r="G11">
        <f t="shared" si="0"/>
        <v>17.2</v>
      </c>
      <c r="L11" s="1" t="s">
        <v>38</v>
      </c>
      <c r="M11">
        <f>M1-M5</f>
        <v>89.36</v>
      </c>
    </row>
    <row r="12" spans="2:13">
      <c r="B12" s="3">
        <v>45606</v>
      </c>
      <c r="C12" t="s">
        <v>159</v>
      </c>
      <c r="D12">
        <f>VLOOKUP(C12,成本价!$C$61:$D$75,2,0)</f>
        <v>40.95</v>
      </c>
      <c r="E12">
        <v>56.3</v>
      </c>
      <c r="F12">
        <v>3.5</v>
      </c>
      <c r="G12">
        <f t="shared" si="0"/>
        <v>11.85</v>
      </c>
      <c r="L12" s="1" t="s">
        <v>41</v>
      </c>
      <c r="M12">
        <f>M11-M9</f>
        <v>89.36</v>
      </c>
    </row>
    <row r="13" spans="2:7">
      <c r="B13" s="3">
        <v>45606</v>
      </c>
      <c r="C13" t="s">
        <v>168</v>
      </c>
      <c r="D13">
        <f>VLOOKUP(C13,成本价!$C$61:$D$75,2,0)</f>
        <v>37.8</v>
      </c>
      <c r="E13">
        <v>52.9</v>
      </c>
      <c r="F13">
        <v>0</v>
      </c>
      <c r="G13">
        <f t="shared" si="0"/>
        <v>15.1</v>
      </c>
    </row>
    <row r="14" spans="1:6">
      <c r="A14" s="2" t="s">
        <v>48</v>
      </c>
      <c r="F14">
        <v>10</v>
      </c>
    </row>
  </sheetData>
  <dataValidations count="1">
    <dataValidation type="list" allowBlank="1" showInputMessage="1" showErrorMessage="1" sqref="C2:C172">
      <formula1>成本价!$C$61:$C$75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流水</vt:lpstr>
      <vt:lpstr>日投产比</vt:lpstr>
      <vt:lpstr>成本价</vt:lpstr>
      <vt:lpstr>周报</vt:lpstr>
      <vt:lpstr>百洁布流水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伍</cp:lastModifiedBy>
  <dcterms:created xsi:type="dcterms:W3CDTF">2023-05-12T11:15:00Z</dcterms:created>
  <dcterms:modified xsi:type="dcterms:W3CDTF">2025-01-18T16:23:42Z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9DB97AB0D9AB48BC9892BB164258D7D0_13</vt:lpwstr>
  </property>
</Properties>
</file>