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7E95CD06-4AD0-4D29-908B-842ACAA7F5A7}" xr6:coauthVersionLast="47" xr6:coauthVersionMax="47" xr10:uidLastSave="{00000000-0000-0000-0000-000000000000}"/>
  <bookViews>
    <workbookView xWindow="-120" yWindow="-120" windowWidth="29040" windowHeight="14220" activeTab="1" xr2:uid="{76299D81-AF9C-44FA-9459-CDFFDCD7C6B6}"/>
  </bookViews>
  <sheets>
    <sheet name="Planilha1" sheetId="1" r:id="rId1"/>
    <sheet name="Planilha2" sheetId="2" r:id="rId2"/>
    <sheet name="QUADRO ALBOORG" sheetId="3" r:id="rId3"/>
  </sheets>
  <definedNames>
    <definedName name="_Hlk120515240" localSheetId="1">Planilha2!$A$6</definedName>
    <definedName name="_Hlk120784569" localSheetId="1">Planilha2!$A$11</definedName>
    <definedName name="_Hlk120785108" localSheetId="1">Planilha2!$A$13</definedName>
    <definedName name="_Hlk120787190" localSheetId="1">Planilha2!$A$15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" i="2" l="1"/>
  <c r="Y28" i="2" s="1"/>
  <c r="Y29" i="2" s="1"/>
  <c r="Y25" i="2"/>
  <c r="U23" i="2"/>
  <c r="W7" i="2"/>
  <c r="W8" i="2"/>
  <c r="W9" i="2"/>
  <c r="W10" i="2"/>
  <c r="W11" i="2"/>
  <c r="W12" i="2"/>
  <c r="W13" i="2"/>
  <c r="W14" i="2"/>
  <c r="W15" i="2"/>
  <c r="W16" i="2"/>
  <c r="W19" i="2"/>
  <c r="W6" i="2"/>
  <c r="I72" i="2"/>
  <c r="D24" i="3"/>
  <c r="D25" i="3"/>
  <c r="D23" i="3"/>
  <c r="U43" i="2"/>
  <c r="V41" i="2"/>
  <c r="V42" i="2" s="1"/>
  <c r="V40" i="2"/>
  <c r="V10" i="2"/>
  <c r="Q11" i="2"/>
  <c r="Q10" i="2"/>
  <c r="Q9" i="2"/>
  <c r="S9" i="2"/>
  <c r="V9" i="2" s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39" i="2"/>
  <c r="T39" i="2"/>
  <c r="S39" i="2"/>
  <c r="R39" i="2"/>
  <c r="Q39" i="2"/>
  <c r="K38" i="2"/>
  <c r="E36" i="2"/>
  <c r="I37" i="2"/>
  <c r="Q28" i="2"/>
  <c r="Q29" i="2"/>
  <c r="S29" i="2" s="1"/>
  <c r="Q30" i="2"/>
  <c r="S30" i="2" s="1"/>
  <c r="Q31" i="2"/>
  <c r="Q32" i="2"/>
  <c r="R32" i="2" s="1"/>
  <c r="T32" i="2" s="1"/>
  <c r="Q27" i="2"/>
  <c r="R27" i="2" s="1"/>
  <c r="T27" i="2" s="1"/>
  <c r="R28" i="2"/>
  <c r="T28" i="2" s="1"/>
  <c r="R29" i="2"/>
  <c r="T29" i="2" s="1"/>
  <c r="R31" i="2"/>
  <c r="T31" i="2" s="1"/>
  <c r="S32" i="2"/>
  <c r="Q6" i="2"/>
  <c r="S6" i="2" s="1"/>
  <c r="V6" i="2" s="1"/>
  <c r="K22" i="2"/>
  <c r="M22" i="2" s="1"/>
  <c r="Q19" i="2"/>
  <c r="S19" i="2" s="1"/>
  <c r="V19" i="2" s="1"/>
  <c r="E16" i="2"/>
  <c r="E19" i="2"/>
  <c r="E7" i="2"/>
  <c r="E8" i="2"/>
  <c r="E9" i="2"/>
  <c r="E10" i="2"/>
  <c r="E11" i="2"/>
  <c r="E12" i="2"/>
  <c r="E13" i="2"/>
  <c r="E14" i="2"/>
  <c r="E15" i="2"/>
  <c r="Q17" i="2"/>
  <c r="R17" i="2" s="1"/>
  <c r="T17" i="2" s="1"/>
  <c r="I18" i="2"/>
  <c r="I21" i="2" s="1"/>
  <c r="E6" i="2"/>
  <c r="Q7" i="2"/>
  <c r="S7" i="2" s="1"/>
  <c r="V7" i="2" s="1"/>
  <c r="Q8" i="2"/>
  <c r="S10" i="2"/>
  <c r="S11" i="2"/>
  <c r="V11" i="2" s="1"/>
  <c r="Q12" i="2"/>
  <c r="Q13" i="2"/>
  <c r="S13" i="2" s="1"/>
  <c r="V13" i="2" s="1"/>
  <c r="Q14" i="2"/>
  <c r="Q15" i="2"/>
  <c r="Q16" i="2"/>
  <c r="S16" i="2" s="1"/>
  <c r="V16" i="2" s="1"/>
  <c r="Q18" i="2"/>
  <c r="R18" i="2" s="1"/>
  <c r="T18" i="2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10" i="1"/>
  <c r="V43" i="2" l="1"/>
  <c r="S27" i="2"/>
  <c r="M38" i="2"/>
  <c r="R30" i="2"/>
  <c r="T30" i="2" s="1"/>
  <c r="S31" i="2"/>
  <c r="S28" i="2"/>
  <c r="S8" i="2"/>
  <c r="V8" i="2" s="1"/>
  <c r="S14" i="2"/>
  <c r="V14" i="2" s="1"/>
  <c r="Q23" i="2"/>
  <c r="E20" i="2"/>
  <c r="S18" i="2"/>
  <c r="V18" i="2" s="1"/>
  <c r="S15" i="2"/>
  <c r="V15" i="2" s="1"/>
  <c r="S12" i="2"/>
  <c r="V12" i="2" s="1"/>
  <c r="S17" i="2"/>
  <c r="V17" i="2" s="1"/>
  <c r="R19" i="2"/>
  <c r="T19" i="2" s="1"/>
  <c r="R12" i="2"/>
  <c r="T12" i="2" s="1"/>
  <c r="R11" i="2"/>
  <c r="T11" i="2" s="1"/>
  <c r="R6" i="2"/>
  <c r="R10" i="2"/>
  <c r="T10" i="2" s="1"/>
  <c r="R16" i="2"/>
  <c r="T16" i="2" s="1"/>
  <c r="R8" i="2"/>
  <c r="T8" i="2" s="1"/>
  <c r="R15" i="2"/>
  <c r="T15" i="2" s="1"/>
  <c r="R7" i="2"/>
  <c r="T7" i="2" s="1"/>
  <c r="R14" i="2"/>
  <c r="T14" i="2" s="1"/>
  <c r="R13" i="2"/>
  <c r="T13" i="2" s="1"/>
  <c r="R9" i="2"/>
  <c r="T9" i="2" s="1"/>
  <c r="S23" i="2" l="1"/>
  <c r="U27" i="2" s="1"/>
  <c r="T6" i="2"/>
  <c r="T23" i="2" s="1"/>
  <c r="R23" i="2"/>
  <c r="V24" i="2" l="1"/>
  <c r="V25" i="2" l="1"/>
  <c r="V27" i="2" s="1"/>
  <c r="V23" i="2"/>
  <c r="V39" i="2"/>
  <c r="V26" i="2" l="1"/>
</calcChain>
</file>

<file path=xl/sharedStrings.xml><?xml version="1.0" encoding="utf-8"?>
<sst xmlns="http://schemas.openxmlformats.org/spreadsheetml/2006/main" count="442" uniqueCount="121">
  <si>
    <t>ITENS</t>
  </si>
  <si>
    <t>APLICAÇÃO        (MOTOR)</t>
  </si>
  <si>
    <t xml:space="preserve">POTÊNCIA        </t>
  </si>
  <si>
    <t>CV</t>
  </si>
  <si>
    <t xml:space="preserve"> </t>
  </si>
  <si>
    <t>KW</t>
  </si>
  <si>
    <t>RPM</t>
  </si>
  <si>
    <t xml:space="preserve">Nº </t>
  </si>
  <si>
    <t>Polos</t>
  </si>
  <si>
    <t xml:space="preserve">TRIFÁSICO 220Vca </t>
  </si>
  <si>
    <t>( I )</t>
  </si>
  <si>
    <t xml:space="preserve">TRIFÁSICO 380Vca </t>
  </si>
  <si>
    <t xml:space="preserve">TRIFÁSICO 440Vca </t>
  </si>
  <si>
    <t>BOMBA DE ÁGUA</t>
  </si>
  <si>
    <t>A</t>
  </si>
  <si>
    <t>EXAUSTOR</t>
  </si>
  <si>
    <t>VENTILADOR</t>
  </si>
  <si>
    <t>INCLUSA DE ALMENTAÇÃO</t>
  </si>
  <si>
    <t>ESTEIRA TRANSPORTADOR</t>
  </si>
  <si>
    <t>BOMBA HIDRAULICA</t>
  </si>
  <si>
    <t>ROSCA EXTRATORA DE CINZAS</t>
  </si>
  <si>
    <t>COMPRESSOR DE AR</t>
  </si>
  <si>
    <t>SECADOR DE AR</t>
  </si>
  <si>
    <t>item</t>
  </si>
  <si>
    <t>nome</t>
  </si>
  <si>
    <t xml:space="preserve">potencia </t>
  </si>
  <si>
    <t>pkw</t>
  </si>
  <si>
    <t>potencia kva</t>
  </si>
  <si>
    <r>
      <t xml:space="preserve">PROJETO - </t>
    </r>
    <r>
      <rPr>
        <b/>
        <i/>
        <sz val="8.5"/>
        <color rgb="FF000000"/>
        <rFont val="Arial"/>
        <family val="2"/>
      </rPr>
      <t>CALDEIRA ALBOORG (DUREINO)</t>
    </r>
  </si>
  <si>
    <r>
      <t xml:space="preserve">RELAÇÃO DE CARGAS PARA TENSÃO DE ALIMENTAÇÃO = </t>
    </r>
    <r>
      <rPr>
        <b/>
        <sz val="8"/>
        <color rgb="FFC00000"/>
        <rFont val="Arial"/>
        <family val="2"/>
      </rPr>
      <t>380 Vca / 60 Hz</t>
    </r>
  </si>
  <si>
    <t>CARGAS DE MOTORES</t>
  </si>
  <si>
    <t xml:space="preserve">  POTÊNCIA        </t>
  </si>
  <si>
    <r>
      <t xml:space="preserve">POTÊNCIA TOTAL DOS MOTORES </t>
    </r>
    <r>
      <rPr>
        <b/>
        <sz val="8"/>
        <color rgb="FFC00000"/>
        <rFont val="Arial"/>
        <family val="2"/>
      </rPr>
      <t>(KW)</t>
    </r>
  </si>
  <si>
    <r>
      <t xml:space="preserve">CORRENTE TOTAL DOS MOTORES </t>
    </r>
    <r>
      <rPr>
        <b/>
        <sz val="8"/>
        <color rgb="FFC00000"/>
        <rFont val="Arial"/>
        <family val="2"/>
      </rPr>
      <t>(380 Vca)</t>
    </r>
  </si>
  <si>
    <t>CARGAS DE AQUECIMENTO</t>
  </si>
  <si>
    <t>RESISTÊNCIA</t>
  </si>
  <si>
    <t xml:space="preserve">  MONOFÁSICO </t>
  </si>
  <si>
    <r>
      <t xml:space="preserve">220Vca ( </t>
    </r>
    <r>
      <rPr>
        <b/>
        <sz val="6.5"/>
        <color rgb="FF000000"/>
        <rFont val="Times New Roman"/>
        <family val="1"/>
      </rPr>
      <t>I</t>
    </r>
    <r>
      <rPr>
        <b/>
        <sz val="6.5"/>
        <color rgb="FF000000"/>
        <rFont val="Arial"/>
        <family val="2"/>
      </rPr>
      <t xml:space="preserve"> )</t>
    </r>
  </si>
  <si>
    <t>AQUECIMENTO DO TANQUE DE SERVIÇO</t>
  </si>
  <si>
    <t>RESISTÊNCIA DO AQUECEDOR FINAL A</t>
  </si>
  <si>
    <t>RESISTÊNCIA DO AQUECEDOR FINAL B</t>
  </si>
  <si>
    <r>
      <t xml:space="preserve">POTÊNCIA TOTAL AQUEC. </t>
    </r>
    <r>
      <rPr>
        <b/>
        <sz val="9.5"/>
        <color rgb="FFC00000"/>
        <rFont val="Arial"/>
        <family val="2"/>
      </rPr>
      <t>(KW)</t>
    </r>
  </si>
  <si>
    <r>
      <t xml:space="preserve">CORRENTE TOTAL AQUEC. MONOFÁSICA </t>
    </r>
    <r>
      <rPr>
        <b/>
        <sz val="9.5"/>
        <color rgb="FFC00000"/>
        <rFont val="Arial"/>
        <family val="2"/>
      </rPr>
      <t>(220 Vca)</t>
    </r>
  </si>
  <si>
    <r>
      <t xml:space="preserve">CORRENTE TOTAL AQUEC. TRIFÁSICA </t>
    </r>
    <r>
      <rPr>
        <b/>
        <sz val="9.5"/>
        <color rgb="FFC00000"/>
        <rFont val="Arial"/>
        <family val="2"/>
      </rPr>
      <t>(220 Vca)</t>
    </r>
  </si>
  <si>
    <r>
      <t xml:space="preserve">CORRENTE TOTAL AQUEC. TRIFÁSICA </t>
    </r>
    <r>
      <rPr>
        <b/>
        <sz val="9.5"/>
        <color rgb="FFC00000"/>
        <rFont val="Arial"/>
        <family val="2"/>
      </rPr>
      <t>(380 Vca)</t>
    </r>
  </si>
  <si>
    <r>
      <t xml:space="preserve">CORRENTE TOTAL AQUEC. TRIFÁSICA </t>
    </r>
    <r>
      <rPr>
        <b/>
        <sz val="9.5"/>
        <color rgb="FFC00000"/>
        <rFont val="Arial"/>
        <family val="2"/>
      </rPr>
      <t>(440 Vca)</t>
    </r>
  </si>
  <si>
    <t>SOMATÓRIA DAS CARGAS</t>
  </si>
  <si>
    <r>
      <t xml:space="preserve">POTÊNCIA TOTAL INSTALADA </t>
    </r>
    <r>
      <rPr>
        <b/>
        <sz val="9.5"/>
        <color rgb="FFC00000"/>
        <rFont val="Arial"/>
        <family val="2"/>
      </rPr>
      <t>(KW)</t>
    </r>
  </si>
  <si>
    <r>
      <t xml:space="preserve">CORRENTE TOTAL MONOFÁSICA </t>
    </r>
    <r>
      <rPr>
        <b/>
        <sz val="9.5"/>
        <color rgb="FFC00000"/>
        <rFont val="Arial"/>
        <family val="2"/>
      </rPr>
      <t>(220 Vca)</t>
    </r>
  </si>
  <si>
    <r>
      <t xml:space="preserve">CORRENTE TOTAL TRIFÁSICA </t>
    </r>
    <r>
      <rPr>
        <b/>
        <sz val="9.5"/>
        <color rgb="FFC00000"/>
        <rFont val="Arial"/>
        <family val="2"/>
      </rPr>
      <t>(220 Vca)</t>
    </r>
  </si>
  <si>
    <r>
      <t xml:space="preserve">CORRENTE TOTAL TRIFÁSICA </t>
    </r>
    <r>
      <rPr>
        <b/>
        <sz val="9.5"/>
        <color rgb="FFC00000"/>
        <rFont val="Arial"/>
        <family val="2"/>
      </rPr>
      <t>(380 Vca)</t>
    </r>
  </si>
  <si>
    <r>
      <t xml:space="preserve">CORRENTE TOTAL TRIFÁSICA </t>
    </r>
    <r>
      <rPr>
        <b/>
        <sz val="9.5"/>
        <color rgb="FFC00000"/>
        <rFont val="Arial"/>
        <family val="2"/>
      </rPr>
      <t>(440 Vca)</t>
    </r>
  </si>
  <si>
    <r>
      <t xml:space="preserve">POTÊNCIA TOTAL INSTALADA </t>
    </r>
    <r>
      <rPr>
        <b/>
        <sz val="9.5"/>
        <color rgb="FFC00000"/>
        <rFont val="Arial"/>
        <family val="2"/>
      </rPr>
      <t>(KVA)</t>
    </r>
  </si>
  <si>
    <t xml:space="preserve">MONOFÁSICO 220Vca </t>
  </si>
  <si>
    <t>-</t>
  </si>
  <si>
    <t xml:space="preserve">POTENCIA KVA </t>
  </si>
  <si>
    <t>FP</t>
  </si>
  <si>
    <t>RENDIMENTO</t>
  </si>
  <si>
    <t>POTENCIA KVAR</t>
  </si>
  <si>
    <t xml:space="preserve">POTÊNCIA    CV    </t>
  </si>
  <si>
    <t xml:space="preserve">                  Partida</t>
  </si>
  <si>
    <t>Inversor</t>
  </si>
  <si>
    <t>Partida direta</t>
  </si>
  <si>
    <t>Bomba Hidraulica</t>
  </si>
  <si>
    <t>Vibrador Tulha</t>
  </si>
  <si>
    <t>Iluminação setor</t>
  </si>
  <si>
    <t>Disjuntor</t>
  </si>
  <si>
    <t>ATA</t>
  </si>
  <si>
    <t>Caldeira</t>
  </si>
  <si>
    <t>FU</t>
  </si>
  <si>
    <t>FS</t>
  </si>
  <si>
    <t>CARAC. MOTORES</t>
  </si>
  <si>
    <t>DEMANDA KVAR</t>
  </si>
  <si>
    <t>DEMANDA KVA</t>
  </si>
  <si>
    <r>
      <t>CORRENTE TOTAL MONOFÁSICA</t>
    </r>
    <r>
      <rPr>
        <b/>
        <sz val="8"/>
        <color rgb="FFC00000"/>
        <rFont val="Arial"/>
        <family val="2"/>
      </rPr>
      <t>(</t>
    </r>
    <r>
      <rPr>
        <b/>
        <sz val="8"/>
        <color rgb="FFFF0000"/>
        <rFont val="Arial"/>
        <family val="2"/>
      </rPr>
      <t>A</t>
    </r>
    <r>
      <rPr>
        <b/>
        <sz val="8"/>
        <color rgb="FFC00000"/>
        <rFont val="Arial"/>
        <family val="2"/>
      </rPr>
      <t>)</t>
    </r>
  </si>
  <si>
    <t>POTENCIAS TOTAIS</t>
  </si>
  <si>
    <t>CAPACITOR</t>
  </si>
  <si>
    <t>KVA</t>
  </si>
  <si>
    <t>KVAR</t>
  </si>
  <si>
    <t>ITEM</t>
  </si>
  <si>
    <t>EQUIPAMENTO</t>
  </si>
  <si>
    <t>ACIONAMENTO</t>
  </si>
  <si>
    <t>CORRENTE (A)</t>
  </si>
  <si>
    <t>DISJUNTOR MOTOR</t>
  </si>
  <si>
    <t>DRIVER</t>
  </si>
  <si>
    <t>CFW500C16POT4</t>
  </si>
  <si>
    <t>CFW500F77POT4</t>
  </si>
  <si>
    <t>CFW500E49POT4</t>
  </si>
  <si>
    <t>AUX</t>
  </si>
  <si>
    <t>ACBF-11</t>
  </si>
  <si>
    <t>CWC016-00-40C03</t>
  </si>
  <si>
    <t>N</t>
  </si>
  <si>
    <t>MPW183C016</t>
  </si>
  <si>
    <t>MPW80-3-U65</t>
  </si>
  <si>
    <t>MPW80-3-U50</t>
  </si>
  <si>
    <t xml:space="preserve">ITEM </t>
  </si>
  <si>
    <t>QTE</t>
  </si>
  <si>
    <t>UNIDADE</t>
  </si>
  <si>
    <t>METROS</t>
  </si>
  <si>
    <t>DISJUNTOR 400A DWB400-400-DA</t>
  </si>
  <si>
    <t>DISJUNTOR 250A DWB250-250-DF</t>
  </si>
  <si>
    <t>TIPO</t>
  </si>
  <si>
    <t>BARRAMENTO COBRE</t>
  </si>
  <si>
    <t>DISJUNTOR CAIXA MOLDADA</t>
  </si>
  <si>
    <t>INVERSOR DE FREQUENCIA</t>
  </si>
  <si>
    <t>MÓDULO DISJUNTOR MOTOR</t>
  </si>
  <si>
    <t>LISTA DE MATERIAIS</t>
  </si>
  <si>
    <t>BORNE FUSÍVEL</t>
  </si>
  <si>
    <t>BORNE RELÉ</t>
  </si>
  <si>
    <t>BORNE PASSAGEM</t>
  </si>
  <si>
    <r>
      <t xml:space="preserve">BARRAMENTO </t>
    </r>
    <r>
      <rPr>
        <b/>
        <sz val="11"/>
        <color theme="1"/>
        <rFont val="Calibri"/>
        <family val="2"/>
        <scheme val="minor"/>
      </rPr>
      <t>3/4 X 3/8</t>
    </r>
    <r>
      <rPr>
        <sz val="11"/>
        <color theme="1"/>
        <rFont val="Calibri"/>
        <family val="2"/>
        <scheme val="minor"/>
      </rPr>
      <t xml:space="preserve"> OU </t>
    </r>
    <r>
      <rPr>
        <b/>
        <sz val="11"/>
        <color theme="1"/>
        <rFont val="Calibri"/>
        <family val="2"/>
        <scheme val="minor"/>
      </rPr>
      <t>7/8 X 5/16</t>
    </r>
  </si>
  <si>
    <t>FUSÍVEL 0,3A 5X20mm</t>
  </si>
  <si>
    <t>TERMINAL PRE ISOLADO 1mm</t>
  </si>
  <si>
    <t>TERMINAL PRENSADO CORES DIVERSAS</t>
  </si>
  <si>
    <t>IDENTIFICADOR 1mm</t>
  </si>
  <si>
    <t>PORTA IDENTIFICADOR DE CONDUTOR ELÉTRICO</t>
  </si>
  <si>
    <r>
      <rPr>
        <b/>
        <sz val="11"/>
        <color theme="1"/>
        <rFont val="Calibri"/>
        <family val="2"/>
        <scheme val="minor"/>
      </rPr>
      <t>2711P-B12C4D1</t>
    </r>
    <r>
      <rPr>
        <sz val="11"/>
        <color theme="1"/>
        <rFont val="Calibri"/>
        <family val="2"/>
        <scheme val="minor"/>
      </rPr>
      <t xml:space="preserve"> OU </t>
    </r>
    <r>
      <rPr>
        <b/>
        <sz val="11"/>
        <color theme="1"/>
        <rFont val="Calibri"/>
        <family val="2"/>
        <scheme val="minor"/>
      </rPr>
      <t>DOP-112MX</t>
    </r>
  </si>
  <si>
    <t>IHM 12" ROCKWELL</t>
  </si>
  <si>
    <t>WAGO 857-304</t>
  </si>
  <si>
    <t>WAGO 2002-2611/1000-0541</t>
  </si>
  <si>
    <t>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</si>
</sst>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i/>
      <sz val="8.5"/>
      <color rgb="FF000000"/>
      <name val="Arial"/>
      <family val="2"/>
    </font>
    <font>
      <b/>
      <sz val="8"/>
      <color rgb="FFC00000"/>
      <name val="Arial"/>
      <family val="2"/>
    </font>
    <font>
      <b/>
      <sz val="8"/>
      <color rgb="FF000000"/>
      <name val="Arial"/>
      <family val="2"/>
    </font>
    <font>
      <b/>
      <sz val="6.5"/>
      <color rgb="FF000000"/>
      <name val="Arial"/>
      <family val="2"/>
    </font>
    <font>
      <b/>
      <sz val="6.5"/>
      <color rgb="FF000000"/>
      <name val="Times New Roman"/>
      <family val="1"/>
    </font>
    <font>
      <sz val="6.5"/>
      <color rgb="FF000000"/>
      <name val="Arial"/>
      <family val="2"/>
    </font>
    <font>
      <sz val="8"/>
      <color rgb="FF000000"/>
      <name val="Calibri"/>
      <family val="2"/>
      <scheme val="minor"/>
    </font>
    <font>
      <b/>
      <sz val="8.5"/>
      <color rgb="FF000000"/>
      <name val="Arial"/>
      <family val="2"/>
    </font>
    <font>
      <b/>
      <sz val="9.5"/>
      <color rgb="FF000000"/>
      <name val="Arial"/>
      <family val="2"/>
    </font>
    <font>
      <sz val="7"/>
      <color rgb="FF000000"/>
      <name val="Arial"/>
      <family val="2"/>
    </font>
    <font>
      <b/>
      <sz val="9.5"/>
      <color rgb="FFC00000"/>
      <name val="Arial"/>
      <family val="2"/>
    </font>
    <font>
      <b/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7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5">
    <xf numFmtId="0" fontId="0" fillId="0" borderId="0" xfId="0"/>
    <xf numFmtId="0" fontId="6" fillId="4" borderId="8" xfId="0" applyFont="1" applyFill="1" applyBorder="1" applyAlignment="1">
      <alignment horizontal="justify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left" vertical="center" wrapText="1" inden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left" vertical="center" wrapText="1" indent="1"/>
    </xf>
    <xf numFmtId="0" fontId="2" fillId="8" borderId="8" xfId="0" applyFont="1" applyFill="1" applyBorder="1" applyAlignment="1">
      <alignment horizontal="right" vertical="center" wrapText="1"/>
    </xf>
    <xf numFmtId="0" fontId="2" fillId="8" borderId="8" xfId="0" applyFont="1" applyFill="1" applyBorder="1" applyAlignment="1">
      <alignment horizontal="left" vertical="center" wrapText="1" indent="1"/>
    </xf>
    <xf numFmtId="0" fontId="2" fillId="9" borderId="8" xfId="0" applyFont="1" applyFill="1" applyBorder="1" applyAlignment="1">
      <alignment horizontal="right" vertical="center" wrapText="1"/>
    </xf>
    <xf numFmtId="0" fontId="2" fillId="9" borderId="11" xfId="0" applyFont="1" applyFill="1" applyBorder="1" applyAlignment="1">
      <alignment horizontal="left" vertical="center" wrapText="1" indent="1"/>
    </xf>
    <xf numFmtId="0" fontId="8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1" fillId="6" borderId="8" xfId="0" applyFont="1" applyFill="1" applyBorder="1" applyAlignment="1">
      <alignment vertical="center" wrapText="1"/>
    </xf>
    <xf numFmtId="0" fontId="2" fillId="10" borderId="7" xfId="0" applyFont="1" applyFill="1" applyBorder="1" applyAlignment="1">
      <alignment horizontal="left" vertical="center" wrapText="1" indent="1"/>
    </xf>
    <xf numFmtId="0" fontId="9" fillId="0" borderId="8" xfId="0" applyFont="1" applyBorder="1" applyAlignment="1">
      <alignment horizontal="center" vertical="center" wrapText="1"/>
    </xf>
    <xf numFmtId="0" fontId="2" fillId="6" borderId="8" xfId="0" applyFont="1" applyFill="1" applyBorder="1" applyAlignment="1">
      <alignment vertical="center" wrapText="1"/>
    </xf>
    <xf numFmtId="0" fontId="2" fillId="11" borderId="7" xfId="0" applyFont="1" applyFill="1" applyBorder="1" applyAlignment="1">
      <alignment horizontal="left" vertical="center" wrapText="1" indent="1"/>
    </xf>
    <xf numFmtId="0" fontId="9" fillId="5" borderId="8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left" vertical="center" wrapText="1" indent="1"/>
    </xf>
    <xf numFmtId="0" fontId="5" fillId="13" borderId="8" xfId="0" applyFont="1" applyFill="1" applyBorder="1" applyAlignment="1">
      <alignment horizontal="justify" vertical="center" wrapText="1"/>
    </xf>
    <xf numFmtId="0" fontId="12" fillId="13" borderId="8" xfId="0" applyFont="1" applyFill="1" applyBorder="1" applyAlignment="1">
      <alignment horizontal="right" vertical="center" wrapText="1"/>
    </xf>
    <xf numFmtId="0" fontId="2" fillId="13" borderId="8" xfId="0" applyFont="1" applyFill="1" applyBorder="1" applyAlignment="1">
      <alignment horizontal="justify" vertical="center" wrapText="1"/>
    </xf>
    <xf numFmtId="0" fontId="2" fillId="14" borderId="8" xfId="0" applyFont="1" applyFill="1" applyBorder="1" applyAlignment="1">
      <alignment horizontal="right" vertical="center" wrapText="1"/>
    </xf>
    <xf numFmtId="0" fontId="2" fillId="14" borderId="8" xfId="0" applyFont="1" applyFill="1" applyBorder="1" applyAlignment="1">
      <alignment horizontal="left" vertical="center" wrapText="1" indent="1"/>
    </xf>
    <xf numFmtId="0" fontId="1" fillId="13" borderId="8" xfId="0" applyFont="1" applyFill="1" applyBorder="1" applyAlignment="1">
      <alignment vertical="center" wrapText="1"/>
    </xf>
    <xf numFmtId="0" fontId="1" fillId="14" borderId="8" xfId="0" applyFont="1" applyFill="1" applyBorder="1" applyAlignment="1">
      <alignment vertical="center" wrapText="1"/>
    </xf>
    <xf numFmtId="0" fontId="1" fillId="8" borderId="8" xfId="0" applyFont="1" applyFill="1" applyBorder="1" applyAlignment="1">
      <alignment vertical="center" wrapText="1"/>
    </xf>
    <xf numFmtId="0" fontId="1" fillId="9" borderId="8" xfId="0" applyFont="1" applyFill="1" applyBorder="1" applyAlignment="1">
      <alignment vertical="center" wrapText="1"/>
    </xf>
    <xf numFmtId="0" fontId="1" fillId="9" borderId="11" xfId="0" applyFont="1" applyFill="1" applyBorder="1" applyAlignment="1">
      <alignment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" fillId="8" borderId="35" xfId="0" applyFont="1" applyFill="1" applyBorder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1" fillId="8" borderId="0" xfId="0" applyFont="1" applyFill="1" applyAlignment="1">
      <alignment horizontal="center" vertical="center" wrapText="1"/>
    </xf>
    <xf numFmtId="0" fontId="2" fillId="9" borderId="5" xfId="0" applyFont="1" applyFill="1" applyBorder="1" applyAlignment="1">
      <alignment vertical="center" wrapText="1"/>
    </xf>
    <xf numFmtId="0" fontId="1" fillId="8" borderId="30" xfId="0" applyFont="1" applyFill="1" applyBorder="1" applyAlignment="1">
      <alignment vertical="center" wrapText="1"/>
    </xf>
    <xf numFmtId="0" fontId="2" fillId="9" borderId="10" xfId="0" applyFont="1" applyFill="1" applyBorder="1" applyAlignment="1">
      <alignment vertical="center" wrapText="1"/>
    </xf>
    <xf numFmtId="0" fontId="11" fillId="15" borderId="14" xfId="0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8" borderId="10" xfId="0" applyNumberFormat="1" applyFont="1" applyFill="1" applyBorder="1" applyAlignment="1">
      <alignment horizontal="center" vertical="center" wrapText="1"/>
    </xf>
    <xf numFmtId="2" fontId="2" fillId="9" borderId="42" xfId="0" applyNumberFormat="1" applyFont="1" applyFill="1" applyBorder="1" applyAlignment="1">
      <alignment horizontal="center" vertical="center" wrapText="1"/>
    </xf>
    <xf numFmtId="2" fontId="2" fillId="9" borderId="43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2" fontId="2" fillId="9" borderId="45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1" fillId="6" borderId="9" xfId="0" applyFont="1" applyFill="1" applyBorder="1" applyAlignment="1">
      <alignment horizontal="center" vertical="center" wrapText="1"/>
    </xf>
    <xf numFmtId="2" fontId="2" fillId="7" borderId="9" xfId="0" applyNumberFormat="1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left" vertical="center" wrapText="1" indent="1"/>
    </xf>
    <xf numFmtId="0" fontId="2" fillId="8" borderId="9" xfId="0" applyFont="1" applyFill="1" applyBorder="1" applyAlignment="1">
      <alignment horizontal="right" vertical="center" wrapText="1"/>
    </xf>
    <xf numFmtId="0" fontId="2" fillId="8" borderId="9" xfId="0" applyFont="1" applyFill="1" applyBorder="1" applyAlignment="1">
      <alignment horizontal="left" vertical="center" wrapText="1" indent="1"/>
    </xf>
    <xf numFmtId="0" fontId="8" fillId="12" borderId="45" xfId="0" applyFont="1" applyFill="1" applyBorder="1" applyAlignment="1">
      <alignment horizontal="center" vertical="center" wrapText="1"/>
    </xf>
    <xf numFmtId="0" fontId="2" fillId="12" borderId="45" xfId="0" applyFont="1" applyFill="1" applyBorder="1" applyAlignment="1">
      <alignment horizontal="center" vertical="center" wrapText="1"/>
    </xf>
    <xf numFmtId="0" fontId="2" fillId="12" borderId="45" xfId="0" applyFont="1" applyFill="1" applyBorder="1" applyAlignment="1">
      <alignment horizontal="justify" vertical="center" wrapText="1"/>
    </xf>
    <xf numFmtId="2" fontId="2" fillId="2" borderId="45" xfId="0" applyNumberFormat="1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justify" vertical="center" wrapText="1"/>
    </xf>
    <xf numFmtId="0" fontId="1" fillId="6" borderId="45" xfId="0" applyFont="1" applyFill="1" applyBorder="1" applyAlignment="1">
      <alignment horizontal="center" vertical="center" wrapText="1"/>
    </xf>
    <xf numFmtId="2" fontId="2" fillId="7" borderId="45" xfId="0" applyNumberFormat="1" applyFont="1" applyFill="1" applyBorder="1" applyAlignment="1">
      <alignment horizontal="center" vertical="center" wrapText="1"/>
    </xf>
    <xf numFmtId="0" fontId="2" fillId="7" borderId="45" xfId="0" applyFont="1" applyFill="1" applyBorder="1" applyAlignment="1">
      <alignment horizontal="left" vertical="center" wrapText="1" indent="1"/>
    </xf>
    <xf numFmtId="0" fontId="2" fillId="8" borderId="45" xfId="0" applyFont="1" applyFill="1" applyBorder="1" applyAlignment="1">
      <alignment horizontal="right" vertical="center" wrapText="1"/>
    </xf>
    <xf numFmtId="0" fontId="2" fillId="8" borderId="45" xfId="0" applyFont="1" applyFill="1" applyBorder="1" applyAlignment="1">
      <alignment horizontal="left" vertical="center" wrapText="1" indent="1"/>
    </xf>
    <xf numFmtId="2" fontId="2" fillId="8" borderId="45" xfId="0" applyNumberFormat="1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vertical="center" wrapText="1"/>
    </xf>
    <xf numFmtId="0" fontId="2" fillId="7" borderId="45" xfId="0" applyFont="1" applyFill="1" applyBorder="1" applyAlignment="1">
      <alignment horizontal="center" vertical="center" wrapText="1"/>
    </xf>
    <xf numFmtId="0" fontId="1" fillId="12" borderId="45" xfId="0" applyFont="1" applyFill="1" applyBorder="1" applyAlignment="1">
      <alignment vertical="center" wrapText="1"/>
    </xf>
    <xf numFmtId="0" fontId="6" fillId="4" borderId="50" xfId="0" applyFont="1" applyFill="1" applyBorder="1" applyAlignment="1">
      <alignment vertical="center" wrapText="1"/>
    </xf>
    <xf numFmtId="0" fontId="6" fillId="4" borderId="50" xfId="0" applyFont="1" applyFill="1" applyBorder="1" applyAlignment="1">
      <alignment horizontal="center" vertical="center" wrapText="1"/>
    </xf>
    <xf numFmtId="0" fontId="2" fillId="5" borderId="51" xfId="0" applyFont="1" applyFill="1" applyBorder="1" applyAlignment="1">
      <alignment horizontal="center" vertical="center" wrapText="1"/>
    </xf>
    <xf numFmtId="0" fontId="2" fillId="10" borderId="51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1" fillId="5" borderId="51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2" fillId="8" borderId="45" xfId="0" applyFont="1" applyFill="1" applyBorder="1" applyAlignment="1">
      <alignment horizontal="center" vertical="center" wrapText="1"/>
    </xf>
    <xf numFmtId="0" fontId="2" fillId="11" borderId="53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justify" vertical="center" wrapText="1"/>
    </xf>
    <xf numFmtId="2" fontId="2" fillId="9" borderId="54" xfId="0" applyNumberFormat="1" applyFont="1" applyFill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justify" vertical="center" wrapText="1"/>
    </xf>
    <xf numFmtId="0" fontId="2" fillId="2" borderId="56" xfId="0" applyFont="1" applyFill="1" applyBorder="1" applyAlignment="1">
      <alignment horizontal="justify" vertical="center" wrapText="1"/>
    </xf>
    <xf numFmtId="0" fontId="1" fillId="6" borderId="56" xfId="0" applyFont="1" applyFill="1" applyBorder="1" applyAlignment="1">
      <alignment horizontal="center" vertical="center" wrapText="1"/>
    </xf>
    <xf numFmtId="2" fontId="2" fillId="7" borderId="56" xfId="0" applyNumberFormat="1" applyFont="1" applyFill="1" applyBorder="1" applyAlignment="1">
      <alignment horizontal="center" vertical="center" wrapText="1"/>
    </xf>
    <xf numFmtId="0" fontId="2" fillId="7" borderId="56" xfId="0" applyFont="1" applyFill="1" applyBorder="1" applyAlignment="1">
      <alignment horizontal="left" vertical="center" wrapText="1" indent="1"/>
    </xf>
    <xf numFmtId="0" fontId="2" fillId="8" borderId="56" xfId="0" applyFont="1" applyFill="1" applyBorder="1" applyAlignment="1">
      <alignment horizontal="right" vertical="center" wrapText="1"/>
    </xf>
    <xf numFmtId="0" fontId="2" fillId="8" borderId="56" xfId="0" applyFont="1" applyFill="1" applyBorder="1" applyAlignment="1">
      <alignment horizontal="left" vertical="center" wrapText="1" indent="1"/>
    </xf>
    <xf numFmtId="0" fontId="2" fillId="0" borderId="59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8" fillId="16" borderId="45" xfId="0" applyFont="1" applyFill="1" applyBorder="1" applyAlignment="1">
      <alignment horizontal="center" vertical="center" wrapText="1"/>
    </xf>
    <xf numFmtId="0" fontId="2" fillId="16" borderId="45" xfId="0" applyFont="1" applyFill="1" applyBorder="1" applyAlignment="1">
      <alignment horizontal="center" vertical="center" wrapText="1"/>
    </xf>
    <xf numFmtId="0" fontId="2" fillId="16" borderId="45" xfId="0" applyFont="1" applyFill="1" applyBorder="1" applyAlignment="1">
      <alignment horizontal="justify" vertical="center" wrapText="1"/>
    </xf>
    <xf numFmtId="0" fontId="14" fillId="0" borderId="0" xfId="0" applyFont="1" applyAlignment="1">
      <alignment horizontal="center" vertical="center" wrapText="1"/>
    </xf>
    <xf numFmtId="2" fontId="10" fillId="13" borderId="9" xfId="0" applyNumberFormat="1" applyFont="1" applyFill="1" applyBorder="1" applyAlignment="1">
      <alignment horizontal="left" vertical="center" wrapText="1" indent="1"/>
    </xf>
    <xf numFmtId="0" fontId="5" fillId="13" borderId="9" xfId="0" applyFont="1" applyFill="1" applyBorder="1" applyAlignment="1">
      <alignment horizontal="justify" vertical="center" wrapText="1"/>
    </xf>
    <xf numFmtId="2" fontId="0" fillId="0" borderId="0" xfId="0" applyNumberFormat="1"/>
    <xf numFmtId="0" fontId="0" fillId="17" borderId="46" xfId="0" applyFill="1" applyBorder="1"/>
    <xf numFmtId="2" fontId="0" fillId="17" borderId="46" xfId="0" applyNumberFormat="1" applyFill="1" applyBorder="1" applyAlignment="1">
      <alignment horizontal="center"/>
    </xf>
    <xf numFmtId="0" fontId="11" fillId="8" borderId="61" xfId="0" applyFont="1" applyFill="1" applyBorder="1" applyAlignment="1">
      <alignment vertical="center" wrapText="1"/>
    </xf>
    <xf numFmtId="0" fontId="7" fillId="4" borderId="46" xfId="0" applyFont="1" applyFill="1" applyBorder="1" applyAlignment="1">
      <alignment horizontal="center" vertical="center" wrapText="1"/>
    </xf>
    <xf numFmtId="2" fontId="2" fillId="8" borderId="62" xfId="0" applyNumberFormat="1" applyFont="1" applyFill="1" applyBorder="1" applyAlignment="1">
      <alignment horizontal="center" vertical="center" wrapText="1"/>
    </xf>
    <xf numFmtId="2" fontId="2" fillId="8" borderId="63" xfId="0" applyNumberFormat="1" applyFont="1" applyFill="1" applyBorder="1" applyAlignment="1">
      <alignment horizontal="center" vertical="center" wrapText="1"/>
    </xf>
    <xf numFmtId="2" fontId="2" fillId="8" borderId="46" xfId="0" applyNumberFormat="1" applyFont="1" applyFill="1" applyBorder="1" applyAlignment="1">
      <alignment horizontal="center" vertical="center" wrapText="1"/>
    </xf>
    <xf numFmtId="2" fontId="11" fillId="9" borderId="46" xfId="0" applyNumberFormat="1" applyFont="1" applyFill="1" applyBorder="1" applyAlignment="1">
      <alignment horizontal="center" vertical="center" wrapText="1"/>
    </xf>
    <xf numFmtId="2" fontId="2" fillId="9" borderId="52" xfId="0" applyNumberFormat="1" applyFont="1" applyFill="1" applyBorder="1" applyAlignment="1">
      <alignment horizontal="center" vertical="center" wrapText="1"/>
    </xf>
    <xf numFmtId="2" fontId="11" fillId="9" borderId="44" xfId="0" applyNumberFormat="1" applyFont="1" applyFill="1" applyBorder="1" applyAlignment="1">
      <alignment horizontal="center" vertical="center" wrapText="1"/>
    </xf>
    <xf numFmtId="0" fontId="15" fillId="0" borderId="61" xfId="0" applyFont="1" applyBorder="1"/>
    <xf numFmtId="0" fontId="15" fillId="0" borderId="64" xfId="0" applyFont="1" applyBorder="1"/>
    <xf numFmtId="0" fontId="0" fillId="0" borderId="36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11" borderId="45" xfId="0" applyFont="1" applyFill="1" applyBorder="1" applyAlignment="1">
      <alignment horizontal="center" vertical="center" wrapText="1"/>
    </xf>
    <xf numFmtId="0" fontId="2" fillId="10" borderId="45" xfId="0" applyFont="1" applyFill="1" applyBorder="1" applyAlignment="1">
      <alignment horizontal="center" vertical="center" wrapText="1"/>
    </xf>
    <xf numFmtId="2" fontId="2" fillId="8" borderId="60" xfId="0" applyNumberFormat="1" applyFont="1" applyFill="1" applyBorder="1" applyAlignment="1">
      <alignment horizontal="center" vertical="center" wrapText="1"/>
    </xf>
    <xf numFmtId="0" fontId="2" fillId="8" borderId="60" xfId="0" applyFont="1" applyFill="1" applyBorder="1" applyAlignment="1">
      <alignment horizontal="left" vertical="center" wrapText="1" indent="1"/>
    </xf>
    <xf numFmtId="0" fontId="6" fillId="4" borderId="0" xfId="0" applyFont="1" applyFill="1" applyAlignment="1">
      <alignment horizontal="justify" vertical="center" wrapText="1"/>
    </xf>
    <xf numFmtId="0" fontId="0" fillId="18" borderId="0" xfId="0" applyFill="1"/>
    <xf numFmtId="0" fontId="0" fillId="0" borderId="45" xfId="0" applyBorder="1" applyAlignment="1">
      <alignment horizontal="center"/>
    </xf>
    <xf numFmtId="0" fontId="0" fillId="19" borderId="45" xfId="0" applyFill="1" applyBorder="1" applyAlignment="1">
      <alignment horizontal="center"/>
    </xf>
    <xf numFmtId="0" fontId="0" fillId="0" borderId="45" xfId="0" applyBorder="1" applyAlignment="1">
      <alignment horizontal="center" wrapText="1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19" borderId="70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5" xfId="0" applyBorder="1" applyAlignment="1">
      <alignment horizontal="center" wrapText="1"/>
    </xf>
    <xf numFmtId="0" fontId="0" fillId="0" borderId="72" xfId="0" applyBorder="1" applyAlignment="1">
      <alignment horizontal="center" wrapText="1"/>
    </xf>
    <xf numFmtId="0" fontId="0" fillId="18" borderId="69" xfId="0" applyFill="1" applyBorder="1" applyAlignment="1">
      <alignment horizontal="center"/>
    </xf>
    <xf numFmtId="0" fontId="0" fillId="18" borderId="45" xfId="0" applyFill="1" applyBorder="1" applyAlignment="1">
      <alignment horizontal="center"/>
    </xf>
    <xf numFmtId="0" fontId="0" fillId="18" borderId="70" xfId="0" applyFill="1" applyBorder="1" applyAlignment="1">
      <alignment horizont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13" borderId="59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 wrapText="1"/>
    </xf>
    <xf numFmtId="0" fontId="2" fillId="13" borderId="9" xfId="0" applyFont="1" applyFill="1" applyBorder="1" applyAlignment="1">
      <alignment vertical="center" wrapText="1"/>
    </xf>
    <xf numFmtId="0" fontId="2" fillId="17" borderId="44" xfId="0" applyFont="1" applyFill="1" applyBorder="1" applyAlignment="1">
      <alignment horizontal="left" vertical="center" wrapText="1"/>
    </xf>
    <xf numFmtId="0" fontId="2" fillId="17" borderId="57" xfId="0" applyFont="1" applyFill="1" applyBorder="1" applyAlignment="1">
      <alignment horizontal="left" vertical="center" wrapText="1"/>
    </xf>
    <xf numFmtId="0" fontId="2" fillId="17" borderId="58" xfId="0" applyFont="1" applyFill="1" applyBorder="1" applyAlignment="1">
      <alignment horizontal="left" vertical="center" wrapText="1"/>
    </xf>
    <xf numFmtId="0" fontId="2" fillId="8" borderId="59" xfId="0" applyFont="1" applyFill="1" applyBorder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2" fillId="9" borderId="44" xfId="0" applyFont="1" applyFill="1" applyBorder="1" applyAlignment="1">
      <alignment horizontal="left" vertical="center" wrapText="1"/>
    </xf>
    <xf numFmtId="0" fontId="2" fillId="9" borderId="57" xfId="0" applyFont="1" applyFill="1" applyBorder="1" applyAlignment="1">
      <alignment horizontal="left" vertical="center" wrapText="1"/>
    </xf>
    <xf numFmtId="0" fontId="2" fillId="9" borderId="58" xfId="0" applyFont="1" applyFill="1" applyBorder="1" applyAlignment="1">
      <alignment horizontal="left" vertical="center" wrapText="1"/>
    </xf>
    <xf numFmtId="0" fontId="6" fillId="4" borderId="47" xfId="0" applyFont="1" applyFill="1" applyBorder="1" applyAlignment="1">
      <alignment horizontal="center" vertical="center" wrapText="1"/>
    </xf>
    <xf numFmtId="0" fontId="6" fillId="4" borderId="51" xfId="0" applyFont="1" applyFill="1" applyBorder="1" applyAlignment="1">
      <alignment horizontal="center" vertical="center" wrapText="1"/>
    </xf>
    <xf numFmtId="0" fontId="6" fillId="4" borderId="4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left" vertical="center" wrapText="1"/>
    </xf>
    <xf numFmtId="0" fontId="6" fillId="4" borderId="50" xfId="0" applyFont="1" applyFill="1" applyBorder="1" applyAlignment="1">
      <alignment horizontal="left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vertical="center" wrapText="1"/>
    </xf>
    <xf numFmtId="0" fontId="6" fillId="4" borderId="50" xfId="0" applyFont="1" applyFill="1" applyBorder="1" applyAlignment="1">
      <alignment vertical="center" wrapText="1"/>
    </xf>
    <xf numFmtId="0" fontId="6" fillId="4" borderId="49" xfId="0" applyFont="1" applyFill="1" applyBorder="1" applyAlignment="1">
      <alignment horizontal="justify" vertical="center" wrapText="1"/>
    </xf>
    <xf numFmtId="0" fontId="6" fillId="4" borderId="41" xfId="0" applyFont="1" applyFill="1" applyBorder="1" applyAlignment="1">
      <alignment horizontal="justify" vertical="center" wrapText="1"/>
    </xf>
    <xf numFmtId="0" fontId="6" fillId="4" borderId="4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justify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justify" vertical="center" wrapText="1"/>
    </xf>
    <xf numFmtId="0" fontId="6" fillId="4" borderId="9" xfId="0" applyFont="1" applyFill="1" applyBorder="1" applyAlignment="1">
      <alignment horizontal="justify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57" xfId="0" applyFont="1" applyFill="1" applyBorder="1" applyAlignment="1">
      <alignment horizontal="center" vertical="center" wrapText="1"/>
    </xf>
    <xf numFmtId="0" fontId="2" fillId="3" borderId="58" xfId="0" applyFont="1" applyFill="1" applyBorder="1" applyAlignment="1">
      <alignment horizontal="center" vertical="center" wrapText="1"/>
    </xf>
    <xf numFmtId="0" fontId="6" fillId="4" borderId="65" xfId="0" applyFont="1" applyFill="1" applyBorder="1" applyAlignment="1">
      <alignment horizontal="justify" vertical="center" wrapText="1"/>
    </xf>
    <xf numFmtId="0" fontId="6" fillId="4" borderId="7" xfId="0" applyFont="1" applyFill="1" applyBorder="1" applyAlignment="1">
      <alignment horizontal="justify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0" fontId="6" fillId="4" borderId="28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horizontal="justify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" fillId="14" borderId="28" xfId="0" applyFont="1" applyFill="1" applyBorder="1" applyAlignment="1">
      <alignment vertical="center" wrapText="1"/>
    </xf>
    <xf numFmtId="0" fontId="1" fillId="14" borderId="9" xfId="0" applyFont="1" applyFill="1" applyBorder="1" applyAlignment="1">
      <alignment vertical="center" wrapText="1"/>
    </xf>
    <xf numFmtId="0" fontId="1" fillId="8" borderId="28" xfId="0" applyFont="1" applyFill="1" applyBorder="1" applyAlignment="1">
      <alignment vertical="center" wrapText="1"/>
    </xf>
    <xf numFmtId="0" fontId="1" fillId="8" borderId="9" xfId="0" applyFont="1" applyFill="1" applyBorder="1" applyAlignment="1">
      <alignment vertical="center" wrapText="1"/>
    </xf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1" borderId="2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2" fillId="13" borderId="24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1" fillId="14" borderId="25" xfId="0" applyFont="1" applyFill="1" applyBorder="1" applyAlignment="1">
      <alignment vertical="center" wrapText="1"/>
    </xf>
    <xf numFmtId="0" fontId="1" fillId="14" borderId="26" xfId="0" applyFont="1" applyFill="1" applyBorder="1" applyAlignment="1">
      <alignment vertical="center" wrapText="1"/>
    </xf>
    <xf numFmtId="0" fontId="1" fillId="8" borderId="25" xfId="0" applyFont="1" applyFill="1" applyBorder="1" applyAlignment="1">
      <alignment vertical="center" wrapText="1"/>
    </xf>
    <xf numFmtId="0" fontId="1" fillId="8" borderId="26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9" borderId="29" xfId="0" applyFont="1" applyFill="1" applyBorder="1" applyAlignment="1">
      <alignment vertical="center" wrapText="1"/>
    </xf>
    <xf numFmtId="0" fontId="2" fillId="9" borderId="14" xfId="0" applyFont="1" applyFill="1" applyBorder="1" applyAlignment="1">
      <alignment vertical="center" wrapText="1"/>
    </xf>
    <xf numFmtId="0" fontId="2" fillId="9" borderId="15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13" borderId="31" xfId="0" applyFont="1" applyFill="1" applyBorder="1" applyAlignment="1">
      <alignment vertical="center" wrapText="1"/>
    </xf>
    <xf numFmtId="0" fontId="2" fillId="13" borderId="32" xfId="0" applyFont="1" applyFill="1" applyBorder="1" applyAlignment="1">
      <alignment vertical="center" wrapText="1"/>
    </xf>
    <xf numFmtId="0" fontId="2" fillId="13" borderId="33" xfId="0" applyFont="1" applyFill="1" applyBorder="1" applyAlignment="1">
      <alignment vertical="center" wrapText="1"/>
    </xf>
    <xf numFmtId="0" fontId="1" fillId="6" borderId="20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1" fillId="14" borderId="20" xfId="0" applyFont="1" applyFill="1" applyBorder="1" applyAlignment="1">
      <alignment vertical="center" wrapText="1"/>
    </xf>
    <xf numFmtId="0" fontId="1" fillId="14" borderId="21" xfId="0" applyFont="1" applyFill="1" applyBorder="1" applyAlignment="1">
      <alignment vertical="center" wrapText="1"/>
    </xf>
    <xf numFmtId="0" fontId="1" fillId="8" borderId="20" xfId="0" applyFont="1" applyFill="1" applyBorder="1" applyAlignment="1">
      <alignment vertical="center" wrapText="1"/>
    </xf>
    <xf numFmtId="0" fontId="1" fillId="8" borderId="21" xfId="0" applyFont="1" applyFill="1" applyBorder="1" applyAlignment="1">
      <alignment vertical="center" wrapText="1"/>
    </xf>
    <xf numFmtId="0" fontId="1" fillId="9" borderId="20" xfId="0" applyFont="1" applyFill="1" applyBorder="1" applyAlignment="1">
      <alignment vertical="center" wrapText="1"/>
    </xf>
    <xf numFmtId="0" fontId="1" fillId="9" borderId="23" xfId="0" applyFont="1" applyFill="1" applyBorder="1" applyAlignment="1">
      <alignment vertical="center" wrapText="1"/>
    </xf>
    <xf numFmtId="0" fontId="2" fillId="14" borderId="24" xfId="0" applyFont="1" applyFill="1" applyBorder="1" applyAlignment="1">
      <alignment vertical="center" wrapText="1"/>
    </xf>
    <xf numFmtId="0" fontId="2" fillId="14" borderId="2" xfId="0" applyFont="1" applyFill="1" applyBorder="1" applyAlignment="1">
      <alignment vertical="center" wrapText="1"/>
    </xf>
    <xf numFmtId="0" fontId="2" fillId="14" borderId="3" xfId="0" applyFont="1" applyFill="1" applyBorder="1" applyAlignment="1">
      <alignment vertical="center" wrapText="1"/>
    </xf>
    <xf numFmtId="0" fontId="11" fillId="14" borderId="22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0" fontId="11" fillId="8" borderId="22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vertical="center" wrapText="1"/>
    </xf>
    <xf numFmtId="0" fontId="2" fillId="15" borderId="29" xfId="0" applyFont="1" applyFill="1" applyBorder="1" applyAlignment="1">
      <alignment vertical="center" wrapText="1"/>
    </xf>
    <xf numFmtId="0" fontId="2" fillId="15" borderId="14" xfId="0" applyFont="1" applyFill="1" applyBorder="1" applyAlignment="1">
      <alignment vertical="center" wrapText="1"/>
    </xf>
    <xf numFmtId="0" fontId="2" fillId="15" borderId="15" xfId="0" applyFont="1" applyFill="1" applyBorder="1" applyAlignment="1">
      <alignment vertical="center" wrapText="1"/>
    </xf>
    <xf numFmtId="0" fontId="11" fillId="15" borderId="13" xfId="0" applyFont="1" applyFill="1" applyBorder="1" applyAlignment="1">
      <alignment horizontal="center" vertical="center" wrapText="1"/>
    </xf>
    <xf numFmtId="0" fontId="11" fillId="15" borderId="15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vertical="center" wrapText="1"/>
    </xf>
    <xf numFmtId="0" fontId="1" fillId="9" borderId="12" xfId="0" applyFont="1" applyFill="1" applyBorder="1" applyAlignment="1">
      <alignment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9" borderId="22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vertical="center" wrapText="1"/>
    </xf>
    <xf numFmtId="0" fontId="1" fillId="9" borderId="27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EE0A-72A7-4075-A4E5-D9A8A4D0FE41}">
  <dimension ref="B2:J23"/>
  <sheetViews>
    <sheetView workbookViewId="0">
      <selection activeCell="K22" sqref="K22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</row>
    <row r="3" spans="2:10" x14ac:dyDescent="0.25">
      <c r="B3" t="s">
        <v>3</v>
      </c>
      <c r="C3" t="s">
        <v>4</v>
      </c>
      <c r="D3" t="s">
        <v>2</v>
      </c>
    </row>
    <row r="4" spans="2:10" x14ac:dyDescent="0.25">
      <c r="B4" t="s">
        <v>5</v>
      </c>
      <c r="C4" t="s">
        <v>4</v>
      </c>
    </row>
    <row r="5" spans="2:10" x14ac:dyDescent="0.25">
      <c r="B5" t="s">
        <v>6</v>
      </c>
      <c r="C5" t="s">
        <v>7</v>
      </c>
    </row>
    <row r="6" spans="2:10" x14ac:dyDescent="0.25">
      <c r="B6" t="s">
        <v>8</v>
      </c>
      <c r="C6" t="s">
        <v>9</v>
      </c>
    </row>
    <row r="7" spans="2:10" x14ac:dyDescent="0.25">
      <c r="B7" t="s">
        <v>10</v>
      </c>
      <c r="C7" t="s">
        <v>11</v>
      </c>
    </row>
    <row r="8" spans="2:10" x14ac:dyDescent="0.25">
      <c r="B8" t="s">
        <v>10</v>
      </c>
      <c r="C8" t="s">
        <v>12</v>
      </c>
    </row>
    <row r="9" spans="2:10" x14ac:dyDescent="0.25">
      <c r="B9" t="s">
        <v>23</v>
      </c>
      <c r="C9" t="s">
        <v>24</v>
      </c>
      <c r="D9" t="s">
        <v>25</v>
      </c>
      <c r="F9" t="s">
        <v>26</v>
      </c>
      <c r="J9" t="s">
        <v>27</v>
      </c>
    </row>
    <row r="10" spans="2:10" x14ac:dyDescent="0.25">
      <c r="B10">
        <v>1</v>
      </c>
      <c r="C10" t="s">
        <v>13</v>
      </c>
      <c r="D10">
        <v>10</v>
      </c>
      <c r="E10" t="s">
        <v>3</v>
      </c>
      <c r="F10">
        <v>7.5</v>
      </c>
      <c r="G10" t="s">
        <v>5</v>
      </c>
      <c r="H10">
        <v>29.02</v>
      </c>
      <c r="I10" t="s">
        <v>14</v>
      </c>
      <c r="J10">
        <f>D10*0.7354988</f>
        <v>7.3549880000000005</v>
      </c>
    </row>
    <row r="11" spans="2:10" x14ac:dyDescent="0.25">
      <c r="B11">
        <v>2</v>
      </c>
      <c r="C11" t="s">
        <v>13</v>
      </c>
      <c r="D11">
        <v>10</v>
      </c>
      <c r="E11" t="s">
        <v>3</v>
      </c>
      <c r="F11">
        <v>7.5</v>
      </c>
      <c r="G11" t="s">
        <v>5</v>
      </c>
      <c r="H11">
        <v>29.02</v>
      </c>
      <c r="I11" t="s">
        <v>14</v>
      </c>
      <c r="J11">
        <f t="shared" ref="J11:J23" si="0">D11*0.7354988</f>
        <v>7.3549880000000005</v>
      </c>
    </row>
    <row r="12" spans="2:10" x14ac:dyDescent="0.25">
      <c r="B12">
        <v>3</v>
      </c>
      <c r="C12" t="s">
        <v>15</v>
      </c>
      <c r="D12">
        <v>40</v>
      </c>
      <c r="E12" t="s">
        <v>3</v>
      </c>
      <c r="F12">
        <v>30</v>
      </c>
      <c r="G12" t="s">
        <v>5</v>
      </c>
      <c r="H12">
        <v>58.28</v>
      </c>
      <c r="I12" t="s">
        <v>14</v>
      </c>
      <c r="J12">
        <f t="shared" si="0"/>
        <v>29.419952000000002</v>
      </c>
    </row>
    <row r="13" spans="2:10" x14ac:dyDescent="0.25">
      <c r="B13">
        <v>4</v>
      </c>
      <c r="C13" t="s">
        <v>16</v>
      </c>
      <c r="D13">
        <v>30</v>
      </c>
      <c r="E13" t="s">
        <v>3</v>
      </c>
      <c r="F13">
        <v>20</v>
      </c>
      <c r="G13" t="s">
        <v>5</v>
      </c>
      <c r="H13">
        <v>58.28</v>
      </c>
      <c r="I13" t="s">
        <v>14</v>
      </c>
      <c r="J13">
        <f t="shared" si="0"/>
        <v>22.064964</v>
      </c>
    </row>
    <row r="14" spans="2:10" x14ac:dyDescent="0.25">
      <c r="B14">
        <v>5</v>
      </c>
      <c r="C14" t="s">
        <v>17</v>
      </c>
      <c r="D14">
        <v>10</v>
      </c>
      <c r="E14" t="s">
        <v>3</v>
      </c>
      <c r="F14">
        <v>7.5</v>
      </c>
      <c r="G14" t="s">
        <v>5</v>
      </c>
      <c r="H14">
        <v>29.02</v>
      </c>
      <c r="I14" t="s">
        <v>14</v>
      </c>
      <c r="J14">
        <f t="shared" si="0"/>
        <v>7.3549880000000005</v>
      </c>
    </row>
    <row r="15" spans="2:10" x14ac:dyDescent="0.25">
      <c r="B15">
        <v>6</v>
      </c>
      <c r="C15" t="s">
        <v>18</v>
      </c>
      <c r="D15">
        <v>10</v>
      </c>
      <c r="E15" t="s">
        <v>3</v>
      </c>
      <c r="F15">
        <v>7.5</v>
      </c>
      <c r="G15" t="s">
        <v>5</v>
      </c>
      <c r="H15">
        <v>29.02</v>
      </c>
      <c r="I15" t="s">
        <v>14</v>
      </c>
      <c r="J15">
        <f t="shared" si="0"/>
        <v>7.3549880000000005</v>
      </c>
    </row>
    <row r="16" spans="2:10" x14ac:dyDescent="0.25">
      <c r="B16">
        <v>7</v>
      </c>
      <c r="C16" t="s">
        <v>19</v>
      </c>
      <c r="D16">
        <v>10</v>
      </c>
      <c r="E16" t="s">
        <v>3</v>
      </c>
      <c r="F16">
        <v>7.5</v>
      </c>
      <c r="G16" t="s">
        <v>5</v>
      </c>
      <c r="H16">
        <v>29.02</v>
      </c>
      <c r="I16" t="s">
        <v>14</v>
      </c>
      <c r="J16">
        <f t="shared" si="0"/>
        <v>7.3549880000000005</v>
      </c>
    </row>
    <row r="17" spans="2:10" x14ac:dyDescent="0.25">
      <c r="B17">
        <v>8</v>
      </c>
      <c r="C17" t="s">
        <v>20</v>
      </c>
      <c r="D17">
        <v>10</v>
      </c>
      <c r="E17" t="s">
        <v>3</v>
      </c>
      <c r="F17">
        <v>7.5</v>
      </c>
      <c r="G17" t="s">
        <v>5</v>
      </c>
      <c r="H17">
        <v>29.02</v>
      </c>
      <c r="I17" t="s">
        <v>14</v>
      </c>
      <c r="J17">
        <f t="shared" si="0"/>
        <v>7.3549880000000005</v>
      </c>
    </row>
    <row r="18" spans="2:10" x14ac:dyDescent="0.25">
      <c r="B18">
        <v>9</v>
      </c>
      <c r="D18">
        <v>0</v>
      </c>
      <c r="E18" t="s">
        <v>3</v>
      </c>
      <c r="F18">
        <v>0</v>
      </c>
      <c r="G18" t="s">
        <v>5</v>
      </c>
      <c r="H18">
        <v>0</v>
      </c>
      <c r="I18" t="s">
        <v>14</v>
      </c>
      <c r="J18">
        <f t="shared" si="0"/>
        <v>0</v>
      </c>
    </row>
    <row r="19" spans="2:10" x14ac:dyDescent="0.25">
      <c r="B19">
        <v>10</v>
      </c>
      <c r="C19" t="s">
        <v>21</v>
      </c>
      <c r="D19">
        <v>30</v>
      </c>
      <c r="E19" t="s">
        <v>3</v>
      </c>
      <c r="F19">
        <v>20</v>
      </c>
      <c r="G19" t="s">
        <v>5</v>
      </c>
      <c r="H19">
        <v>58.28</v>
      </c>
      <c r="I19" t="s">
        <v>14</v>
      </c>
      <c r="J19">
        <f t="shared" si="0"/>
        <v>22.064964</v>
      </c>
    </row>
    <row r="20" spans="2:10" x14ac:dyDescent="0.25">
      <c r="B20">
        <v>11</v>
      </c>
      <c r="C20" t="s">
        <v>21</v>
      </c>
      <c r="D20">
        <v>30</v>
      </c>
      <c r="E20" t="s">
        <v>3</v>
      </c>
      <c r="F20">
        <v>20</v>
      </c>
      <c r="G20" t="s">
        <v>5</v>
      </c>
      <c r="H20">
        <v>58.28</v>
      </c>
      <c r="I20" t="s">
        <v>14</v>
      </c>
      <c r="J20">
        <f t="shared" si="0"/>
        <v>22.064964</v>
      </c>
    </row>
    <row r="21" spans="2:10" x14ac:dyDescent="0.25">
      <c r="B21">
        <v>12</v>
      </c>
      <c r="C21" t="s">
        <v>21</v>
      </c>
      <c r="D21">
        <v>40</v>
      </c>
      <c r="E21" t="s">
        <v>3</v>
      </c>
      <c r="F21">
        <v>30</v>
      </c>
      <c r="G21" t="s">
        <v>5</v>
      </c>
      <c r="H21">
        <v>58.28</v>
      </c>
      <c r="I21" t="s">
        <v>14</v>
      </c>
      <c r="J21">
        <f t="shared" si="0"/>
        <v>29.419952000000002</v>
      </c>
    </row>
    <row r="22" spans="2:10" x14ac:dyDescent="0.25">
      <c r="B22">
        <v>13</v>
      </c>
      <c r="C22" t="s">
        <v>22</v>
      </c>
      <c r="D22">
        <v>0</v>
      </c>
      <c r="E22" t="s">
        <v>3</v>
      </c>
      <c r="F22">
        <v>0</v>
      </c>
      <c r="G22" t="s">
        <v>5</v>
      </c>
      <c r="H22">
        <v>0</v>
      </c>
      <c r="I22" t="s">
        <v>14</v>
      </c>
      <c r="J22">
        <f t="shared" si="0"/>
        <v>0</v>
      </c>
    </row>
    <row r="23" spans="2:10" x14ac:dyDescent="0.25">
      <c r="B23">
        <v>14</v>
      </c>
      <c r="C23" t="s">
        <v>22</v>
      </c>
      <c r="D23">
        <v>0</v>
      </c>
      <c r="E23" t="s">
        <v>3</v>
      </c>
      <c r="F23">
        <v>0</v>
      </c>
      <c r="G23" t="s">
        <v>5</v>
      </c>
      <c r="H23">
        <v>0</v>
      </c>
      <c r="I23" t="s">
        <v>14</v>
      </c>
      <c r="J23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3C1C-D3C3-41A9-8E20-03041170BC1A}">
  <dimension ref="A1:AA72"/>
  <sheetViews>
    <sheetView tabSelected="1" topLeftCell="E1" zoomScale="115" zoomScaleNormal="115" workbookViewId="0">
      <pane ySplit="5" topLeftCell="A18" activePane="bottomLeft" state="frozen"/>
      <selection pane="bottomLeft" activeCell="Y28" sqref="Y28"/>
    </sheetView>
  </sheetViews>
  <sheetFormatPr defaultRowHeight="15" x14ac:dyDescent="0.25"/>
  <cols>
    <col min="2" max="2" width="13.28515625" customWidth="1"/>
    <col min="5" max="5" width="11.7109375" bestFit="1" customWidth="1"/>
    <col min="9" max="9" width="11.5703125" bestFit="1" customWidth="1"/>
    <col min="13" max="13" width="12" customWidth="1"/>
    <col min="14" max="14" width="10.28515625" customWidth="1"/>
    <col min="15" max="15" width="12.28515625" customWidth="1"/>
    <col min="16" max="16" width="13.140625" bestFit="1" customWidth="1"/>
    <col min="22" max="22" width="11.28515625" bestFit="1" customWidth="1"/>
  </cols>
  <sheetData>
    <row r="1" spans="1:27" ht="15.75" customHeight="1" thickBot="1" x14ac:dyDescent="0.3">
      <c r="A1" s="147" t="s">
        <v>28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9"/>
    </row>
    <row r="2" spans="1:27" ht="15.75" customHeight="1" thickBot="1" x14ac:dyDescent="0.3">
      <c r="A2" s="147" t="s">
        <v>29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9"/>
    </row>
    <row r="3" spans="1:27" ht="16.5" customHeight="1" thickBot="1" x14ac:dyDescent="0.3">
      <c r="A3" s="158" t="s">
        <v>30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60"/>
      <c r="U3" s="124">
        <v>1</v>
      </c>
    </row>
    <row r="4" spans="1:27" ht="15.75" customHeight="1" thickBot="1" x14ac:dyDescent="0.3">
      <c r="A4" s="168" t="s">
        <v>0</v>
      </c>
      <c r="B4" s="170" t="s">
        <v>1</v>
      </c>
      <c r="C4" s="172" t="s">
        <v>59</v>
      </c>
      <c r="D4" s="173"/>
      <c r="E4" s="176" t="s">
        <v>31</v>
      </c>
      <c r="F4" s="177"/>
      <c r="G4" s="72" t="s">
        <v>4</v>
      </c>
      <c r="H4" s="73" t="s">
        <v>7</v>
      </c>
      <c r="I4" s="178" t="s">
        <v>53</v>
      </c>
      <c r="J4" s="179"/>
      <c r="K4" s="183" t="s">
        <v>11</v>
      </c>
      <c r="L4" s="179"/>
      <c r="M4" s="161" t="s">
        <v>71</v>
      </c>
      <c r="N4" s="180"/>
      <c r="O4" s="180"/>
      <c r="P4" s="163"/>
      <c r="Q4" s="161" t="s">
        <v>55</v>
      </c>
      <c r="R4" s="163" t="s">
        <v>58</v>
      </c>
      <c r="S4" s="161" t="s">
        <v>73</v>
      </c>
      <c r="T4" s="163" t="s">
        <v>72</v>
      </c>
    </row>
    <row r="5" spans="1:27" ht="15.75" thickBot="1" x14ac:dyDescent="0.3">
      <c r="A5" s="169"/>
      <c r="B5" s="171"/>
      <c r="C5" s="174" t="s">
        <v>60</v>
      </c>
      <c r="D5" s="175"/>
      <c r="E5" s="174" t="s">
        <v>5</v>
      </c>
      <c r="F5" s="175"/>
      <c r="G5" s="47" t="s">
        <v>6</v>
      </c>
      <c r="H5" s="1" t="s">
        <v>8</v>
      </c>
      <c r="I5" s="181" t="s">
        <v>10</v>
      </c>
      <c r="J5" s="182"/>
      <c r="K5" s="184" t="s">
        <v>10</v>
      </c>
      <c r="L5" s="185"/>
      <c r="M5" s="107" t="s">
        <v>57</v>
      </c>
      <c r="N5" s="107" t="s">
        <v>56</v>
      </c>
      <c r="O5" s="107" t="s">
        <v>69</v>
      </c>
      <c r="P5" s="107" t="s">
        <v>70</v>
      </c>
      <c r="Q5" s="162"/>
      <c r="R5" s="164"/>
      <c r="S5" s="162"/>
      <c r="T5" s="164"/>
    </row>
    <row r="6" spans="1:27" ht="15.75" thickBot="1" x14ac:dyDescent="0.3">
      <c r="A6" s="74">
        <v>1</v>
      </c>
      <c r="B6" s="3" t="s">
        <v>13</v>
      </c>
      <c r="C6" s="4">
        <v>10</v>
      </c>
      <c r="D6" s="5" t="s">
        <v>61</v>
      </c>
      <c r="E6" s="43">
        <f>(C6*0.736)/(M6)</f>
        <v>8.8674698795180724</v>
      </c>
      <c r="F6" s="6" t="s">
        <v>5</v>
      </c>
      <c r="G6" s="7">
        <v>3600</v>
      </c>
      <c r="H6" s="7">
        <v>2</v>
      </c>
      <c r="I6" s="9" t="s">
        <v>54</v>
      </c>
      <c r="J6" s="10" t="s">
        <v>54</v>
      </c>
      <c r="K6" s="11">
        <v>15</v>
      </c>
      <c r="L6" s="12" t="s">
        <v>14</v>
      </c>
      <c r="M6" s="44">
        <v>0.83</v>
      </c>
      <c r="N6" s="108">
        <v>0.9</v>
      </c>
      <c r="O6" s="44">
        <v>1</v>
      </c>
      <c r="P6" s="44">
        <v>1</v>
      </c>
      <c r="Q6" s="45">
        <f t="shared" ref="Q6:Q16" si="0">(C6*0.736)/(M6*N6)</f>
        <v>9.8527443105756358</v>
      </c>
      <c r="R6" s="112">
        <f t="shared" ref="R6:R19" si="1">SQRT((Q6^2)-(E6^2))</f>
        <v>4.294711676634452</v>
      </c>
      <c r="S6" s="45">
        <f>Q6*$O6*$P6</f>
        <v>9.8527443105756358</v>
      </c>
      <c r="T6" s="45">
        <f>R6*$O6*$P6</f>
        <v>4.294711676634452</v>
      </c>
      <c r="U6">
        <f>Q6*1000/(SQRT(3)*380)</f>
        <v>14.969696263072098</v>
      </c>
      <c r="V6">
        <f>(S6*1000)/(SQRT(3)*380)</f>
        <v>14.969696263072098</v>
      </c>
      <c r="W6">
        <f>C6*0.736</f>
        <v>7.3599999999999994</v>
      </c>
      <c r="Z6">
        <v>0.83</v>
      </c>
      <c r="AA6">
        <v>0.9</v>
      </c>
    </row>
    <row r="7" spans="1:27" ht="15.75" thickBot="1" x14ac:dyDescent="0.3">
      <c r="A7" s="75">
        <v>2</v>
      </c>
      <c r="B7" s="15" t="s">
        <v>13</v>
      </c>
      <c r="C7" s="16">
        <v>10</v>
      </c>
      <c r="D7" s="17" t="s">
        <v>61</v>
      </c>
      <c r="E7" s="43">
        <f t="shared" ref="E7:E15" si="2">(C7*0.736)/(M7)</f>
        <v>8.8674698795180724</v>
      </c>
      <c r="F7" s="6" t="s">
        <v>5</v>
      </c>
      <c r="G7" s="7">
        <v>3600</v>
      </c>
      <c r="H7" s="7">
        <v>2</v>
      </c>
      <c r="I7" s="9" t="s">
        <v>54</v>
      </c>
      <c r="J7" s="10" t="s">
        <v>54</v>
      </c>
      <c r="K7" s="11">
        <v>15</v>
      </c>
      <c r="L7" s="12" t="s">
        <v>14</v>
      </c>
      <c r="M7" s="44">
        <v>0.83</v>
      </c>
      <c r="N7" s="108">
        <v>0.9</v>
      </c>
      <c r="O7" s="44">
        <v>1</v>
      </c>
      <c r="P7" s="44">
        <v>1</v>
      </c>
      <c r="Q7" s="46">
        <f t="shared" si="0"/>
        <v>9.8527443105756358</v>
      </c>
      <c r="R7" s="112">
        <f t="shared" si="1"/>
        <v>4.294711676634452</v>
      </c>
      <c r="S7" s="45">
        <f t="shared" ref="S7:S19" si="3">Q7*$O7*$P7</f>
        <v>9.8527443105756358</v>
      </c>
      <c r="T7" s="45">
        <f t="shared" ref="T7:T19" si="4">R7*$O7*$P7</f>
        <v>4.294711676634452</v>
      </c>
      <c r="U7">
        <f t="shared" ref="U7:U19" si="5">Q7*1000/(SQRT(3)*380)</f>
        <v>14.969696263072098</v>
      </c>
      <c r="V7">
        <f>(S7*1000)/(SQRT(3)*380)</f>
        <v>14.969696263072098</v>
      </c>
      <c r="W7">
        <f t="shared" ref="W7:W19" si="6">C7*0.736</f>
        <v>7.3599999999999994</v>
      </c>
      <c r="Z7">
        <v>0.83</v>
      </c>
      <c r="AA7">
        <v>0.9</v>
      </c>
    </row>
    <row r="8" spans="1:27" ht="15.75" thickBot="1" x14ac:dyDescent="0.3">
      <c r="A8" s="74">
        <v>3</v>
      </c>
      <c r="B8" s="3" t="s">
        <v>15</v>
      </c>
      <c r="C8" s="4">
        <v>40</v>
      </c>
      <c r="D8" s="5" t="s">
        <v>61</v>
      </c>
      <c r="E8" s="43">
        <f t="shared" si="2"/>
        <v>31.319148936170212</v>
      </c>
      <c r="F8" s="6" t="s">
        <v>5</v>
      </c>
      <c r="G8" s="7">
        <v>1770</v>
      </c>
      <c r="H8" s="7">
        <v>4</v>
      </c>
      <c r="I8" s="9" t="s">
        <v>54</v>
      </c>
      <c r="J8" s="10" t="s">
        <v>54</v>
      </c>
      <c r="K8" s="11">
        <v>61</v>
      </c>
      <c r="L8" s="12" t="s">
        <v>14</v>
      </c>
      <c r="M8" s="44">
        <v>0.94</v>
      </c>
      <c r="N8" s="108">
        <v>0.78</v>
      </c>
      <c r="O8" s="44">
        <v>1</v>
      </c>
      <c r="P8" s="44">
        <v>1</v>
      </c>
      <c r="Q8" s="46">
        <f t="shared" si="0"/>
        <v>40.152755046372064</v>
      </c>
      <c r="R8" s="112">
        <f t="shared" si="1"/>
        <v>25.126771534121641</v>
      </c>
      <c r="S8" s="45">
        <f t="shared" si="3"/>
        <v>40.152755046372064</v>
      </c>
      <c r="T8" s="45">
        <f t="shared" si="4"/>
        <v>25.126771534121641</v>
      </c>
      <c r="U8">
        <f t="shared" si="5"/>
        <v>61.005799828231623</v>
      </c>
      <c r="V8">
        <f>(S8*1000)/(SQRT(3)*380)</f>
        <v>61.005799828231623</v>
      </c>
      <c r="W8">
        <f t="shared" si="6"/>
        <v>29.439999999999998</v>
      </c>
      <c r="Z8">
        <v>0.94</v>
      </c>
      <c r="AA8">
        <v>0.78</v>
      </c>
    </row>
    <row r="9" spans="1:27" ht="15.75" thickBot="1" x14ac:dyDescent="0.3">
      <c r="A9" s="76">
        <v>4</v>
      </c>
      <c r="B9" s="15" t="s">
        <v>16</v>
      </c>
      <c r="C9" s="16">
        <v>30</v>
      </c>
      <c r="D9" s="17" t="s">
        <v>61</v>
      </c>
      <c r="E9" s="43">
        <f t="shared" si="2"/>
        <v>24.533333333333331</v>
      </c>
      <c r="F9" s="6" t="s">
        <v>5</v>
      </c>
      <c r="G9" s="7">
        <v>1770</v>
      </c>
      <c r="H9" s="7">
        <v>4</v>
      </c>
      <c r="I9" s="9" t="s">
        <v>54</v>
      </c>
      <c r="J9" s="10" t="s">
        <v>54</v>
      </c>
      <c r="K9" s="11">
        <v>49</v>
      </c>
      <c r="L9" s="12" t="s">
        <v>14</v>
      </c>
      <c r="M9" s="44">
        <v>0.9</v>
      </c>
      <c r="N9" s="108">
        <v>0.76</v>
      </c>
      <c r="O9" s="44">
        <v>1</v>
      </c>
      <c r="P9" s="44">
        <v>1</v>
      </c>
      <c r="Q9" s="46">
        <f>(C9*0.736)/(M9*N9)</f>
        <v>32.280701754385959</v>
      </c>
      <c r="R9" s="112">
        <f t="shared" si="1"/>
        <v>20.979972862498471</v>
      </c>
      <c r="S9" s="45">
        <f>Q9*$O9*$P9</f>
        <v>32.280701754385959</v>
      </c>
      <c r="T9" s="45">
        <f t="shared" si="4"/>
        <v>20.979972862498471</v>
      </c>
      <c r="U9">
        <f t="shared" si="5"/>
        <v>49.045452230328316</v>
      </c>
      <c r="V9">
        <f>(S9*1000)/(SQRT(3)*380)</f>
        <v>49.045452230328316</v>
      </c>
      <c r="W9">
        <f t="shared" si="6"/>
        <v>22.08</v>
      </c>
      <c r="Z9">
        <v>0.9</v>
      </c>
      <c r="AA9">
        <v>0.76</v>
      </c>
    </row>
    <row r="10" spans="1:27" ht="18.75" thickBot="1" x14ac:dyDescent="0.3">
      <c r="A10" s="74">
        <v>5</v>
      </c>
      <c r="B10" s="3" t="s">
        <v>17</v>
      </c>
      <c r="C10" s="4">
        <v>10</v>
      </c>
      <c r="D10" s="5" t="s">
        <v>61</v>
      </c>
      <c r="E10" s="43">
        <f t="shared" si="2"/>
        <v>8.0879120879120876</v>
      </c>
      <c r="F10" s="6" t="s">
        <v>5</v>
      </c>
      <c r="G10" s="7">
        <v>1770</v>
      </c>
      <c r="H10" s="7">
        <v>4</v>
      </c>
      <c r="I10" s="9" t="s">
        <v>54</v>
      </c>
      <c r="J10" s="10" t="s">
        <v>54</v>
      </c>
      <c r="K10" s="11">
        <v>16</v>
      </c>
      <c r="L10" s="12" t="s">
        <v>14</v>
      </c>
      <c r="M10" s="44">
        <v>0.91</v>
      </c>
      <c r="N10" s="108">
        <v>0.78</v>
      </c>
      <c r="O10" s="44">
        <v>1</v>
      </c>
      <c r="P10" s="44">
        <v>1</v>
      </c>
      <c r="Q10" s="46">
        <f>(C10*0.736)/(M10*N10)</f>
        <v>10.369118061425752</v>
      </c>
      <c r="R10" s="112">
        <f t="shared" si="1"/>
        <v>6.4887816599105319</v>
      </c>
      <c r="S10" s="45">
        <f t="shared" si="3"/>
        <v>10.369118061425752</v>
      </c>
      <c r="T10" s="45">
        <f t="shared" si="4"/>
        <v>6.4887816599105319</v>
      </c>
      <c r="U10">
        <f t="shared" si="5"/>
        <v>15.754245010587287</v>
      </c>
      <c r="V10">
        <f t="shared" ref="V10:V19" si="7">(S10*1000)/(SQRT(3)*380)</f>
        <v>15.754245010587287</v>
      </c>
      <c r="W10">
        <f t="shared" si="6"/>
        <v>7.3599999999999994</v>
      </c>
      <c r="Z10">
        <v>0.91</v>
      </c>
      <c r="AA10">
        <v>0.78</v>
      </c>
    </row>
    <row r="11" spans="1:27" ht="27.75" thickBot="1" x14ac:dyDescent="0.3">
      <c r="A11" s="76">
        <v>6</v>
      </c>
      <c r="B11" s="15" t="s">
        <v>18</v>
      </c>
      <c r="C11" s="16">
        <v>10</v>
      </c>
      <c r="D11" s="17" t="s">
        <v>61</v>
      </c>
      <c r="E11" s="43">
        <f t="shared" si="2"/>
        <v>8.0879120879120876</v>
      </c>
      <c r="F11" s="6" t="s">
        <v>5</v>
      </c>
      <c r="G11" s="7">
        <v>1770</v>
      </c>
      <c r="H11" s="7">
        <v>4</v>
      </c>
      <c r="I11" s="9" t="s">
        <v>54</v>
      </c>
      <c r="J11" s="10" t="s">
        <v>54</v>
      </c>
      <c r="K11" s="11">
        <v>16</v>
      </c>
      <c r="L11" s="12" t="s">
        <v>14</v>
      </c>
      <c r="M11" s="44">
        <v>0.91</v>
      </c>
      <c r="N11" s="108">
        <v>0.78</v>
      </c>
      <c r="O11" s="44">
        <v>1</v>
      </c>
      <c r="P11" s="44">
        <v>1</v>
      </c>
      <c r="Q11" s="46">
        <f>(C11*0.736)/(M11*N11)</f>
        <v>10.369118061425752</v>
      </c>
      <c r="R11" s="112">
        <f t="shared" si="1"/>
        <v>6.4887816599105319</v>
      </c>
      <c r="S11" s="45">
        <f t="shared" si="3"/>
        <v>10.369118061425752</v>
      </c>
      <c r="T11" s="45">
        <f t="shared" si="4"/>
        <v>6.4887816599105319</v>
      </c>
      <c r="U11">
        <f t="shared" si="5"/>
        <v>15.754245010587287</v>
      </c>
      <c r="V11">
        <f t="shared" si="7"/>
        <v>15.754245010587287</v>
      </c>
      <c r="W11">
        <f t="shared" si="6"/>
        <v>7.3599999999999994</v>
      </c>
      <c r="Z11">
        <v>0.91</v>
      </c>
      <c r="AA11">
        <v>0.78</v>
      </c>
    </row>
    <row r="12" spans="1:27" ht="23.25" thickBot="1" x14ac:dyDescent="0.3">
      <c r="A12" s="77">
        <v>7</v>
      </c>
      <c r="B12" s="3" t="s">
        <v>19</v>
      </c>
      <c r="C12" s="4">
        <v>10</v>
      </c>
      <c r="D12" s="5" t="s">
        <v>62</v>
      </c>
      <c r="E12" s="43">
        <f t="shared" si="2"/>
        <v>8.0879120879120876</v>
      </c>
      <c r="F12" s="6" t="s">
        <v>5</v>
      </c>
      <c r="G12" s="7">
        <v>1770</v>
      </c>
      <c r="H12" s="7">
        <v>4</v>
      </c>
      <c r="I12" s="9" t="s">
        <v>54</v>
      </c>
      <c r="J12" s="10" t="s">
        <v>54</v>
      </c>
      <c r="K12" s="11">
        <v>16</v>
      </c>
      <c r="L12" s="12" t="s">
        <v>14</v>
      </c>
      <c r="M12" s="44">
        <v>0.91</v>
      </c>
      <c r="N12" s="108">
        <v>0.78</v>
      </c>
      <c r="O12" s="44">
        <v>1</v>
      </c>
      <c r="P12" s="44">
        <v>1</v>
      </c>
      <c r="Q12" s="46">
        <f t="shared" si="0"/>
        <v>10.369118061425752</v>
      </c>
      <c r="R12" s="112">
        <f t="shared" si="1"/>
        <v>6.4887816599105319</v>
      </c>
      <c r="S12" s="45">
        <f t="shared" si="3"/>
        <v>10.369118061425752</v>
      </c>
      <c r="T12" s="45">
        <f t="shared" si="4"/>
        <v>6.4887816599105319</v>
      </c>
      <c r="U12">
        <f t="shared" si="5"/>
        <v>15.754245010587287</v>
      </c>
      <c r="V12">
        <f t="shared" si="7"/>
        <v>15.754245010587287</v>
      </c>
      <c r="W12">
        <f t="shared" si="6"/>
        <v>7.3599999999999994</v>
      </c>
      <c r="Z12">
        <v>0.91</v>
      </c>
      <c r="AA12">
        <v>0.78</v>
      </c>
    </row>
    <row r="13" spans="1:27" ht="27.75" thickBot="1" x14ac:dyDescent="0.3">
      <c r="A13" s="76">
        <v>8</v>
      </c>
      <c r="B13" s="15" t="s">
        <v>20</v>
      </c>
      <c r="C13" s="16">
        <v>10</v>
      </c>
      <c r="D13" s="17" t="s">
        <v>62</v>
      </c>
      <c r="E13" s="43">
        <f t="shared" si="2"/>
        <v>8.0879120879120876</v>
      </c>
      <c r="F13" s="6" t="s">
        <v>5</v>
      </c>
      <c r="G13" s="7">
        <v>1770</v>
      </c>
      <c r="H13" s="7">
        <v>4</v>
      </c>
      <c r="I13" s="9" t="s">
        <v>54</v>
      </c>
      <c r="J13" s="10" t="s">
        <v>54</v>
      </c>
      <c r="K13" s="11">
        <v>16</v>
      </c>
      <c r="L13" s="12" t="s">
        <v>14</v>
      </c>
      <c r="M13" s="44">
        <v>0.91</v>
      </c>
      <c r="N13" s="108">
        <v>0.78</v>
      </c>
      <c r="O13" s="44">
        <v>1</v>
      </c>
      <c r="P13" s="44">
        <v>1</v>
      </c>
      <c r="Q13" s="46">
        <f t="shared" si="0"/>
        <v>10.369118061425752</v>
      </c>
      <c r="R13" s="112">
        <f t="shared" si="1"/>
        <v>6.4887816599105319</v>
      </c>
      <c r="S13" s="45">
        <f t="shared" si="3"/>
        <v>10.369118061425752</v>
      </c>
      <c r="T13" s="45">
        <f t="shared" si="4"/>
        <v>6.4887816599105319</v>
      </c>
      <c r="U13">
        <f t="shared" si="5"/>
        <v>15.754245010587287</v>
      </c>
      <c r="V13">
        <f t="shared" si="7"/>
        <v>15.754245010587287</v>
      </c>
      <c r="W13">
        <f t="shared" si="6"/>
        <v>7.3599999999999994</v>
      </c>
      <c r="Z13">
        <v>0.91</v>
      </c>
      <c r="AA13">
        <v>0.78</v>
      </c>
    </row>
    <row r="14" spans="1:27" ht="18.75" thickBot="1" x14ac:dyDescent="0.3">
      <c r="A14" s="74">
        <v>9</v>
      </c>
      <c r="B14" s="3" t="s">
        <v>21</v>
      </c>
      <c r="C14" s="4">
        <v>30</v>
      </c>
      <c r="D14" s="5" t="s">
        <v>66</v>
      </c>
      <c r="E14" s="43">
        <f t="shared" si="2"/>
        <v>24.533333333333331</v>
      </c>
      <c r="F14" s="6" t="s">
        <v>5</v>
      </c>
      <c r="G14" s="18">
        <v>1770</v>
      </c>
      <c r="H14" s="7">
        <v>4</v>
      </c>
      <c r="I14" s="9" t="s">
        <v>54</v>
      </c>
      <c r="J14" s="10" t="s">
        <v>54</v>
      </c>
      <c r="K14" s="11">
        <v>49</v>
      </c>
      <c r="L14" s="12" t="s">
        <v>14</v>
      </c>
      <c r="M14" s="44">
        <v>0.9</v>
      </c>
      <c r="N14" s="108">
        <v>0.76</v>
      </c>
      <c r="O14" s="44">
        <v>1</v>
      </c>
      <c r="P14" s="44">
        <v>1</v>
      </c>
      <c r="Q14" s="46">
        <f t="shared" si="0"/>
        <v>32.280701754385959</v>
      </c>
      <c r="R14" s="112">
        <f t="shared" si="1"/>
        <v>20.979972862498471</v>
      </c>
      <c r="S14" s="45">
        <f t="shared" si="3"/>
        <v>32.280701754385959</v>
      </c>
      <c r="T14" s="45">
        <f t="shared" si="4"/>
        <v>20.979972862498471</v>
      </c>
      <c r="U14">
        <f t="shared" si="5"/>
        <v>49.045452230328316</v>
      </c>
      <c r="V14">
        <f t="shared" si="7"/>
        <v>49.045452230328316</v>
      </c>
      <c r="W14">
        <f t="shared" si="6"/>
        <v>22.08</v>
      </c>
      <c r="Z14">
        <v>0.9</v>
      </c>
      <c r="AA14">
        <v>0.76</v>
      </c>
    </row>
    <row r="15" spans="1:27" ht="23.25" thickBot="1" x14ac:dyDescent="0.3">
      <c r="A15" s="75">
        <v>10</v>
      </c>
      <c r="B15" s="20" t="s">
        <v>21</v>
      </c>
      <c r="C15" s="16">
        <v>30</v>
      </c>
      <c r="D15" s="17" t="s">
        <v>66</v>
      </c>
      <c r="E15" s="43">
        <f t="shared" si="2"/>
        <v>24.533333333333331</v>
      </c>
      <c r="F15" s="6" t="s">
        <v>5</v>
      </c>
      <c r="G15" s="21">
        <v>1770</v>
      </c>
      <c r="H15" s="7">
        <v>4</v>
      </c>
      <c r="I15" s="9" t="s">
        <v>54</v>
      </c>
      <c r="J15" s="10" t="s">
        <v>54</v>
      </c>
      <c r="K15" s="11">
        <v>49</v>
      </c>
      <c r="L15" s="12" t="s">
        <v>14</v>
      </c>
      <c r="M15" s="44">
        <v>0.9</v>
      </c>
      <c r="N15" s="108">
        <v>0.76</v>
      </c>
      <c r="O15" s="44">
        <v>1</v>
      </c>
      <c r="P15" s="44">
        <v>1</v>
      </c>
      <c r="Q15" s="46">
        <f t="shared" si="0"/>
        <v>32.280701754385959</v>
      </c>
      <c r="R15" s="112">
        <f t="shared" si="1"/>
        <v>20.979972862498471</v>
      </c>
      <c r="S15" s="45">
        <f t="shared" si="3"/>
        <v>32.280701754385959</v>
      </c>
      <c r="T15" s="45">
        <f t="shared" si="4"/>
        <v>20.979972862498471</v>
      </c>
      <c r="U15">
        <f t="shared" si="5"/>
        <v>49.045452230328316</v>
      </c>
      <c r="V15">
        <f t="shared" si="7"/>
        <v>49.045452230328316</v>
      </c>
      <c r="W15">
        <f t="shared" si="6"/>
        <v>22.08</v>
      </c>
      <c r="Z15">
        <v>0.9</v>
      </c>
      <c r="AA15">
        <v>0.76</v>
      </c>
    </row>
    <row r="16" spans="1:27" ht="23.25" thickBot="1" x14ac:dyDescent="0.3">
      <c r="A16" s="78">
        <v>11</v>
      </c>
      <c r="B16" s="23" t="s">
        <v>21</v>
      </c>
      <c r="C16" s="4">
        <v>40</v>
      </c>
      <c r="D16" s="5" t="s">
        <v>66</v>
      </c>
      <c r="E16" s="43">
        <f>(C16*0.736)/(M16)</f>
        <v>31.319148936170212</v>
      </c>
      <c r="F16" s="6" t="s">
        <v>5</v>
      </c>
      <c r="G16" s="21">
        <v>1770</v>
      </c>
      <c r="H16" s="7">
        <v>4</v>
      </c>
      <c r="I16" s="9" t="s">
        <v>54</v>
      </c>
      <c r="J16" s="10" t="s">
        <v>54</v>
      </c>
      <c r="K16" s="11">
        <v>61</v>
      </c>
      <c r="L16" s="12" t="s">
        <v>14</v>
      </c>
      <c r="M16" s="44">
        <v>0.94</v>
      </c>
      <c r="N16" s="108">
        <v>0.78</v>
      </c>
      <c r="O16" s="44">
        <v>1</v>
      </c>
      <c r="P16" s="44">
        <v>1</v>
      </c>
      <c r="Q16" s="46">
        <f t="shared" si="0"/>
        <v>40.152755046372064</v>
      </c>
      <c r="R16" s="112">
        <f t="shared" si="1"/>
        <v>25.126771534121641</v>
      </c>
      <c r="S16" s="45">
        <f t="shared" si="3"/>
        <v>40.152755046372064</v>
      </c>
      <c r="T16" s="45">
        <f t="shared" si="4"/>
        <v>25.126771534121641</v>
      </c>
      <c r="U16">
        <f t="shared" si="5"/>
        <v>61.005799828231623</v>
      </c>
      <c r="V16">
        <f t="shared" si="7"/>
        <v>61.005799828231623</v>
      </c>
      <c r="W16">
        <f t="shared" si="6"/>
        <v>29.439999999999998</v>
      </c>
      <c r="Z16">
        <v>0.94</v>
      </c>
      <c r="AA16">
        <v>0.78</v>
      </c>
    </row>
    <row r="17" spans="1:27" ht="15.75" thickBot="1" x14ac:dyDescent="0.3">
      <c r="A17" s="75">
        <v>12</v>
      </c>
      <c r="B17" s="20" t="s">
        <v>22</v>
      </c>
      <c r="C17" s="16" t="s">
        <v>54</v>
      </c>
      <c r="D17" s="17" t="s">
        <v>66</v>
      </c>
      <c r="E17" s="43">
        <v>1.5</v>
      </c>
      <c r="F17" s="6" t="s">
        <v>5</v>
      </c>
      <c r="G17" s="7" t="s">
        <v>54</v>
      </c>
      <c r="H17" s="7" t="s">
        <v>54</v>
      </c>
      <c r="I17" s="9">
        <v>9</v>
      </c>
      <c r="J17" s="10" t="s">
        <v>14</v>
      </c>
      <c r="K17" s="11" t="s">
        <v>54</v>
      </c>
      <c r="L17" s="12" t="s">
        <v>54</v>
      </c>
      <c r="M17" s="44">
        <v>1</v>
      </c>
      <c r="N17" s="108">
        <v>0.86</v>
      </c>
      <c r="O17" s="44">
        <v>1</v>
      </c>
      <c r="P17" s="44">
        <v>1</v>
      </c>
      <c r="Q17" s="46">
        <f>E17/0.86</f>
        <v>1.7441860465116279</v>
      </c>
      <c r="R17" s="112">
        <f t="shared" si="1"/>
        <v>0.89004773177951668</v>
      </c>
      <c r="S17" s="45">
        <f t="shared" si="3"/>
        <v>1.7441860465116279</v>
      </c>
      <c r="T17" s="45">
        <f t="shared" si="4"/>
        <v>0.89004773177951668</v>
      </c>
      <c r="U17">
        <f t="shared" si="5"/>
        <v>2.6500165354480987</v>
      </c>
      <c r="V17">
        <f t="shared" si="7"/>
        <v>2.6500165354480987</v>
      </c>
      <c r="Z17">
        <v>1</v>
      </c>
      <c r="AA17">
        <v>0.86</v>
      </c>
    </row>
    <row r="18" spans="1:27" ht="15.75" thickBot="1" x14ac:dyDescent="0.3">
      <c r="A18" s="80">
        <v>13</v>
      </c>
      <c r="B18" s="81" t="s">
        <v>22</v>
      </c>
      <c r="C18" s="82" t="s">
        <v>54</v>
      </c>
      <c r="D18" s="83" t="s">
        <v>66</v>
      </c>
      <c r="E18" s="43">
        <v>1.8</v>
      </c>
      <c r="F18" s="49" t="s">
        <v>5</v>
      </c>
      <c r="G18" s="50" t="s">
        <v>54</v>
      </c>
      <c r="H18" s="50" t="s">
        <v>54</v>
      </c>
      <c r="I18" s="51">
        <f>E18/0.22</f>
        <v>8.1818181818181817</v>
      </c>
      <c r="J18" s="52" t="s">
        <v>14</v>
      </c>
      <c r="K18" s="53" t="s">
        <v>54</v>
      </c>
      <c r="L18" s="54" t="s">
        <v>54</v>
      </c>
      <c r="M18" s="44">
        <v>1</v>
      </c>
      <c r="N18" s="109">
        <v>0.86</v>
      </c>
      <c r="O18" s="44">
        <v>1</v>
      </c>
      <c r="P18" s="44">
        <v>1</v>
      </c>
      <c r="Q18" s="84">
        <f>E18/0.86</f>
        <v>2.0930232558139537</v>
      </c>
      <c r="R18" s="112">
        <f t="shared" si="1"/>
        <v>1.0680572781354205</v>
      </c>
      <c r="S18" s="45">
        <f t="shared" si="3"/>
        <v>2.0930232558139537</v>
      </c>
      <c r="T18" s="45">
        <f t="shared" si="4"/>
        <v>1.0680572781354205</v>
      </c>
      <c r="U18">
        <f t="shared" si="5"/>
        <v>3.1800198425377189</v>
      </c>
      <c r="V18">
        <f t="shared" si="7"/>
        <v>3.1800198425377189</v>
      </c>
      <c r="Z18">
        <v>1</v>
      </c>
      <c r="AA18">
        <v>0.86</v>
      </c>
    </row>
    <row r="19" spans="1:27" ht="23.25" thickBot="1" x14ac:dyDescent="0.3">
      <c r="A19" s="85">
        <v>14</v>
      </c>
      <c r="B19" s="86" t="s">
        <v>63</v>
      </c>
      <c r="C19" s="87">
        <v>1</v>
      </c>
      <c r="D19" s="88" t="s">
        <v>62</v>
      </c>
      <c r="E19" s="43">
        <f>(C19*0.736)/(M19)</f>
        <v>0.78297872340425534</v>
      </c>
      <c r="F19" s="89" t="s">
        <v>5</v>
      </c>
      <c r="G19" s="90"/>
      <c r="H19" s="90"/>
      <c r="I19" s="91"/>
      <c r="J19" s="92"/>
      <c r="K19" s="93">
        <v>1.8</v>
      </c>
      <c r="L19" s="94" t="s">
        <v>14</v>
      </c>
      <c r="M19" s="44">
        <v>0.94</v>
      </c>
      <c r="N19" s="110">
        <v>0.86</v>
      </c>
      <c r="O19" s="44">
        <v>1</v>
      </c>
      <c r="P19" s="44">
        <v>1</v>
      </c>
      <c r="Q19" s="46">
        <f>(C19*0.736)/(M19*N19)</f>
        <v>0.91044037605145978</v>
      </c>
      <c r="R19" s="112">
        <f t="shared" si="1"/>
        <v>0.46459229119838619</v>
      </c>
      <c r="S19" s="45">
        <f t="shared" si="3"/>
        <v>0.91044037605145978</v>
      </c>
      <c r="T19" s="45">
        <f t="shared" si="4"/>
        <v>0.46459229119838619</v>
      </c>
      <c r="U19">
        <f t="shared" si="5"/>
        <v>1.3832710426168802</v>
      </c>
      <c r="V19">
        <f t="shared" si="7"/>
        <v>1.3832710426168802</v>
      </c>
      <c r="W19">
        <f t="shared" si="6"/>
        <v>0.73599999999999999</v>
      </c>
      <c r="Z19">
        <v>0.94</v>
      </c>
      <c r="AA19">
        <v>0.86</v>
      </c>
    </row>
    <row r="20" spans="1:27" ht="15.75" thickBot="1" x14ac:dyDescent="0.3">
      <c r="A20" s="150" t="s">
        <v>32</v>
      </c>
      <c r="B20" s="151"/>
      <c r="C20" s="151"/>
      <c r="D20" s="152"/>
      <c r="E20" s="101">
        <f>SUM(E6:E19)</f>
        <v>190.40786470642919</v>
      </c>
      <c r="F20" s="102" t="s">
        <v>5</v>
      </c>
      <c r="P20" s="103"/>
    </row>
    <row r="21" spans="1:27" ht="15.75" customHeight="1" thickBot="1" x14ac:dyDescent="0.3">
      <c r="A21" s="153" t="s">
        <v>74</v>
      </c>
      <c r="B21" s="154"/>
      <c r="C21" s="154"/>
      <c r="D21" s="154"/>
      <c r="E21" s="154"/>
      <c r="F21" s="154"/>
      <c r="G21" s="154"/>
      <c r="H21" s="155"/>
      <c r="I21" s="105">
        <f>SUM(I6:I19)</f>
        <v>17.18181818181818</v>
      </c>
      <c r="J21" s="104" t="s">
        <v>14</v>
      </c>
    </row>
    <row r="22" spans="1:27" ht="15.75" thickBot="1" x14ac:dyDescent="0.3">
      <c r="A22" s="156" t="s">
        <v>33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06">
        <f>SUM(K6:K19)</f>
        <v>364.8</v>
      </c>
      <c r="L22" s="106" t="s">
        <v>14</v>
      </c>
      <c r="M22">
        <f>K22*380*SQRT(3)</f>
        <v>240103.81114842804</v>
      </c>
      <c r="S22" s="116" t="s">
        <v>77</v>
      </c>
      <c r="T22" s="117" t="s">
        <v>78</v>
      </c>
      <c r="U22" s="118" t="s">
        <v>5</v>
      </c>
      <c r="V22" s="114" t="s">
        <v>76</v>
      </c>
    </row>
    <row r="23" spans="1:27" ht="15.75" customHeight="1" thickBot="1" x14ac:dyDescent="0.3">
      <c r="A23" s="165" t="s">
        <v>75</v>
      </c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7"/>
      <c r="Q23" s="111">
        <f>SUM(Q6:Q19)</f>
        <v>243.07722590113337</v>
      </c>
      <c r="R23" s="113">
        <f>SUM(R6:R19)</f>
        <v>150.16070894976303</v>
      </c>
      <c r="S23" s="111">
        <f>SUM(S6:S19)*U3</f>
        <v>243.07722590113337</v>
      </c>
      <c r="T23" s="111">
        <f>SUM(T6:T19)*U3</f>
        <v>150.16070894976303</v>
      </c>
      <c r="U23" s="111">
        <f>SQRT(S23^2-T23^2)</f>
        <v>191.14993915639937</v>
      </c>
      <c r="V23" s="115" t="str">
        <f>CONCATENATE(TRUNC(U23*(COS(ATAN(T23/U23))-TAN(ACOS(0.95))),2)," kVAR")</f>
        <v>87,48 kVAR</v>
      </c>
      <c r="Y23" s="284">
        <v>1</v>
      </c>
    </row>
    <row r="24" spans="1:27" x14ac:dyDescent="0.25">
      <c r="V24" s="103">
        <f>T23-U23*(COS(ATAN(T23/U23))-TAN(ACOS(0.95)))</f>
        <v>62.673054908341228</v>
      </c>
      <c r="W24" t="s">
        <v>78</v>
      </c>
    </row>
    <row r="25" spans="1:27" x14ac:dyDescent="0.25">
      <c r="T25" s="103"/>
      <c r="U25" s="103"/>
      <c r="V25" s="103">
        <f>SQRT(V24^2+U23^2)</f>
        <v>201.1621511394207</v>
      </c>
      <c r="W25" t="s">
        <v>77</v>
      </c>
      <c r="Y25" s="103">
        <f>T23</f>
        <v>150.16070894976303</v>
      </c>
    </row>
    <row r="26" spans="1:27" ht="15.75" x14ac:dyDescent="0.25">
      <c r="A26" s="95"/>
      <c r="B26" s="100" t="s">
        <v>68</v>
      </c>
      <c r="C26" s="100" t="s">
        <v>67</v>
      </c>
      <c r="D26" s="96"/>
      <c r="V26">
        <f>COS(ASIN(V24/V25))</f>
        <v>0.95022815213343936</v>
      </c>
      <c r="W26" t="s">
        <v>56</v>
      </c>
      <c r="Y26">
        <f>Y23*U23</f>
        <v>191.14993915639937</v>
      </c>
    </row>
    <row r="27" spans="1:27" x14ac:dyDescent="0.25">
      <c r="A27" s="119">
        <v>15</v>
      </c>
      <c r="B27" s="55" t="s">
        <v>13</v>
      </c>
      <c r="C27" s="56">
        <v>10</v>
      </c>
      <c r="D27" s="56" t="s">
        <v>61</v>
      </c>
      <c r="E27" s="58">
        <v>8.8674698795180724</v>
      </c>
      <c r="F27" s="68" t="s">
        <v>5</v>
      </c>
      <c r="G27" s="60">
        <v>3600</v>
      </c>
      <c r="H27" s="60">
        <v>2</v>
      </c>
      <c r="I27" s="61" t="s">
        <v>54</v>
      </c>
      <c r="J27" s="70" t="s">
        <v>54</v>
      </c>
      <c r="K27" s="79">
        <v>29.02</v>
      </c>
      <c r="L27" s="79" t="s">
        <v>14</v>
      </c>
      <c r="M27" s="65">
        <v>0.83</v>
      </c>
      <c r="N27" s="65">
        <v>0.9</v>
      </c>
      <c r="O27" s="65">
        <v>0.83</v>
      </c>
      <c r="P27" s="121">
        <v>0.9</v>
      </c>
      <c r="Q27" s="48">
        <f t="shared" ref="Q27:Q32" si="8">IF(ISERROR((C27*0.736)/(M27*N27)),"",(C27*0.736)/(M27*N27))</f>
        <v>9.8527443105756358</v>
      </c>
      <c r="R27" s="48">
        <f t="shared" ref="R27:R32" si="9">SQRT((Q27^2)-(E27^2))</f>
        <v>4.294711676634452</v>
      </c>
      <c r="S27" s="48">
        <f t="shared" ref="S27:T32" si="10">Q27*$O27*$P27</f>
        <v>7.3599999999999994</v>
      </c>
      <c r="T27" s="48">
        <f t="shared" si="10"/>
        <v>3.2081496224459358</v>
      </c>
      <c r="U27">
        <f>S23*1000/((SQRT(3)*380))</f>
        <v>369.3176363365443</v>
      </c>
      <c r="V27">
        <f>V25*1000/((SQRT(3)*380))</f>
        <v>305.63426871344404</v>
      </c>
      <c r="W27" t="s">
        <v>14</v>
      </c>
    </row>
    <row r="28" spans="1:27" x14ac:dyDescent="0.25">
      <c r="A28" s="66">
        <v>16</v>
      </c>
      <c r="B28" s="67" t="s">
        <v>13</v>
      </c>
      <c r="C28" s="66">
        <v>10</v>
      </c>
      <c r="D28" s="66" t="s">
        <v>61</v>
      </c>
      <c r="E28" s="58">
        <v>8.8674698795180724</v>
      </c>
      <c r="F28" s="68" t="s">
        <v>5</v>
      </c>
      <c r="G28" s="60">
        <v>3600</v>
      </c>
      <c r="H28" s="60">
        <v>2</v>
      </c>
      <c r="I28" s="61" t="s">
        <v>54</v>
      </c>
      <c r="J28" s="70" t="s">
        <v>54</v>
      </c>
      <c r="K28" s="79">
        <v>29.02</v>
      </c>
      <c r="L28" s="79" t="s">
        <v>14</v>
      </c>
      <c r="M28" s="65">
        <v>0.83</v>
      </c>
      <c r="N28" s="65">
        <v>0.9</v>
      </c>
      <c r="O28" s="65">
        <v>0.83</v>
      </c>
      <c r="P28" s="121">
        <v>0.9</v>
      </c>
      <c r="Q28" s="48">
        <f t="shared" si="8"/>
        <v>9.8527443105756358</v>
      </c>
      <c r="R28" s="48">
        <f t="shared" si="9"/>
        <v>4.294711676634452</v>
      </c>
      <c r="S28" s="48">
        <f t="shared" si="10"/>
        <v>7.3599999999999994</v>
      </c>
      <c r="T28" s="48">
        <f t="shared" si="10"/>
        <v>3.2081496224459358</v>
      </c>
      <c r="Y28" s="103">
        <f>SQRT(Y26^2+Y25^2)</f>
        <v>243.07722590113337</v>
      </c>
      <c r="Z28" t="s">
        <v>120</v>
      </c>
    </row>
    <row r="29" spans="1:27" x14ac:dyDescent="0.25">
      <c r="A29" s="119">
        <v>17</v>
      </c>
      <c r="B29" s="55" t="s">
        <v>15</v>
      </c>
      <c r="C29" s="56">
        <v>40</v>
      </c>
      <c r="D29" s="56" t="s">
        <v>61</v>
      </c>
      <c r="E29" s="58">
        <v>31.319148936170212</v>
      </c>
      <c r="F29" s="68" t="s">
        <v>5</v>
      </c>
      <c r="G29" s="60">
        <v>1770</v>
      </c>
      <c r="H29" s="60">
        <v>4</v>
      </c>
      <c r="I29" s="61" t="s">
        <v>54</v>
      </c>
      <c r="J29" s="70" t="s">
        <v>54</v>
      </c>
      <c r="K29" s="79">
        <v>58.28</v>
      </c>
      <c r="L29" s="79" t="s">
        <v>14</v>
      </c>
      <c r="M29" s="65">
        <v>0.94</v>
      </c>
      <c r="N29" s="65">
        <v>0.78</v>
      </c>
      <c r="O29" s="65">
        <v>0.83</v>
      </c>
      <c r="P29" s="121">
        <v>0.83</v>
      </c>
      <c r="Q29" s="48">
        <f t="shared" si="8"/>
        <v>40.152755046372064</v>
      </c>
      <c r="R29" s="48">
        <f t="shared" si="9"/>
        <v>25.126771534121641</v>
      </c>
      <c r="S29" s="48">
        <f t="shared" si="10"/>
        <v>27.661232951445712</v>
      </c>
      <c r="T29" s="48">
        <f t="shared" si="10"/>
        <v>17.309832909856397</v>
      </c>
      <c r="Y29">
        <f>Y28*1000/((SQRT(3)*380))</f>
        <v>369.3176363365443</v>
      </c>
      <c r="Z29" t="s">
        <v>14</v>
      </c>
    </row>
    <row r="30" spans="1:27" x14ac:dyDescent="0.25">
      <c r="A30" s="66">
        <v>18</v>
      </c>
      <c r="B30" s="67" t="s">
        <v>16</v>
      </c>
      <c r="C30" s="66">
        <v>30</v>
      </c>
      <c r="D30" s="66" t="s">
        <v>61</v>
      </c>
      <c r="E30" s="58">
        <v>24.533333333333331</v>
      </c>
      <c r="F30" s="68" t="s">
        <v>5</v>
      </c>
      <c r="G30" s="60">
        <v>1770</v>
      </c>
      <c r="H30" s="60">
        <v>4</v>
      </c>
      <c r="I30" s="61" t="s">
        <v>54</v>
      </c>
      <c r="J30" s="70" t="s">
        <v>54</v>
      </c>
      <c r="K30" s="79">
        <v>58.28</v>
      </c>
      <c r="L30" s="79" t="s">
        <v>14</v>
      </c>
      <c r="M30" s="65">
        <v>0.9</v>
      </c>
      <c r="N30" s="65">
        <v>0.76</v>
      </c>
      <c r="O30" s="65">
        <v>0.83</v>
      </c>
      <c r="P30" s="121">
        <v>0.83</v>
      </c>
      <c r="Q30" s="48">
        <f t="shared" si="8"/>
        <v>32.280701754385959</v>
      </c>
      <c r="R30" s="48">
        <f t="shared" si="9"/>
        <v>20.979972862498471</v>
      </c>
      <c r="S30" s="48">
        <f t="shared" si="10"/>
        <v>22.238175438596485</v>
      </c>
      <c r="T30" s="48">
        <f t="shared" si="10"/>
        <v>14.453103304975196</v>
      </c>
    </row>
    <row r="31" spans="1:27" ht="18" x14ac:dyDescent="0.25">
      <c r="A31" s="119">
        <v>19</v>
      </c>
      <c r="B31" s="55" t="s">
        <v>17</v>
      </c>
      <c r="C31" s="56">
        <v>10</v>
      </c>
      <c r="D31" s="56" t="s">
        <v>61</v>
      </c>
      <c r="E31" s="58">
        <v>8.0879120879120876</v>
      </c>
      <c r="F31" s="68" t="s">
        <v>5</v>
      </c>
      <c r="G31" s="60">
        <v>1770</v>
      </c>
      <c r="H31" s="60">
        <v>4</v>
      </c>
      <c r="I31" s="61" t="s">
        <v>54</v>
      </c>
      <c r="J31" s="70" t="s">
        <v>54</v>
      </c>
      <c r="K31" s="79">
        <v>29.02</v>
      </c>
      <c r="L31" s="79" t="s">
        <v>14</v>
      </c>
      <c r="M31" s="65">
        <v>0.91</v>
      </c>
      <c r="N31" s="65">
        <v>0.78</v>
      </c>
      <c r="O31" s="65">
        <v>0.83</v>
      </c>
      <c r="P31" s="121">
        <v>0.9</v>
      </c>
      <c r="Q31" s="48">
        <f t="shared" si="8"/>
        <v>10.369118061425752</v>
      </c>
      <c r="R31" s="48">
        <f t="shared" si="9"/>
        <v>6.4887816599105319</v>
      </c>
      <c r="S31" s="48">
        <f t="shared" si="10"/>
        <v>7.7457311918850369</v>
      </c>
      <c r="T31" s="48">
        <f t="shared" si="10"/>
        <v>4.8471198999531673</v>
      </c>
    </row>
    <row r="32" spans="1:27" ht="27" x14ac:dyDescent="0.25">
      <c r="A32" s="120">
        <v>20</v>
      </c>
      <c r="B32" s="67" t="s">
        <v>18</v>
      </c>
      <c r="C32" s="66">
        <v>10</v>
      </c>
      <c r="D32" s="66" t="s">
        <v>61</v>
      </c>
      <c r="E32" s="68">
        <v>8.0879120879120876</v>
      </c>
      <c r="F32" s="68" t="s">
        <v>5</v>
      </c>
      <c r="G32" s="60">
        <v>1770</v>
      </c>
      <c r="H32" s="60">
        <v>4</v>
      </c>
      <c r="I32" s="70" t="s">
        <v>54</v>
      </c>
      <c r="J32" s="70" t="s">
        <v>54</v>
      </c>
      <c r="K32" s="79">
        <v>29.02</v>
      </c>
      <c r="L32" s="79" t="s">
        <v>14</v>
      </c>
      <c r="M32" s="79">
        <v>0.91</v>
      </c>
      <c r="N32" s="79">
        <v>0.78</v>
      </c>
      <c r="O32" s="65">
        <v>0.83</v>
      </c>
      <c r="P32" s="121">
        <v>0.9</v>
      </c>
      <c r="Q32" s="48">
        <f t="shared" si="8"/>
        <v>10.369118061425752</v>
      </c>
      <c r="R32" s="48">
        <f t="shared" si="9"/>
        <v>6.4887816599105319</v>
      </c>
      <c r="S32" s="48">
        <f t="shared" si="10"/>
        <v>7.7457311918850369</v>
      </c>
      <c r="T32" s="48">
        <f t="shared" si="10"/>
        <v>4.8471198999531673</v>
      </c>
    </row>
    <row r="33" spans="1:23" x14ac:dyDescent="0.25">
      <c r="A33" s="98">
        <v>21</v>
      </c>
      <c r="B33" s="97" t="s">
        <v>64</v>
      </c>
      <c r="C33" s="98"/>
      <c r="D33" s="99"/>
      <c r="E33" s="68"/>
      <c r="F33" s="59"/>
      <c r="G33" s="69"/>
      <c r="H33" s="69"/>
      <c r="I33" s="70"/>
      <c r="J33" s="62"/>
      <c r="K33" s="63"/>
      <c r="L33" s="64"/>
      <c r="M33" s="64"/>
      <c r="N33" s="64"/>
      <c r="O33" s="64"/>
      <c r="P33" s="122"/>
      <c r="Q33" s="48"/>
      <c r="R33" s="48"/>
      <c r="S33" s="48"/>
      <c r="T33" s="48"/>
    </row>
    <row r="34" spans="1:23" x14ac:dyDescent="0.25">
      <c r="A34" s="120">
        <v>22</v>
      </c>
      <c r="B34" s="67" t="s">
        <v>65</v>
      </c>
      <c r="C34" s="66"/>
      <c r="D34" s="66" t="s">
        <v>66</v>
      </c>
      <c r="E34" s="68"/>
      <c r="F34" s="59"/>
      <c r="G34" s="69"/>
      <c r="H34" s="69"/>
      <c r="I34" s="70"/>
      <c r="J34" s="62"/>
      <c r="K34" s="63"/>
      <c r="L34" s="64"/>
      <c r="M34" s="64"/>
      <c r="N34" s="64"/>
      <c r="O34" s="64"/>
      <c r="P34" s="122"/>
      <c r="Q34" s="48"/>
      <c r="R34" s="48"/>
      <c r="S34" s="48"/>
      <c r="T34" s="48"/>
    </row>
    <row r="35" spans="1:23" x14ac:dyDescent="0.25">
      <c r="A35" s="119">
        <v>23</v>
      </c>
      <c r="B35" s="71"/>
      <c r="C35" s="56"/>
      <c r="D35" s="57"/>
      <c r="E35" s="68"/>
      <c r="F35" s="59"/>
      <c r="G35" s="69"/>
      <c r="H35" s="69"/>
      <c r="I35" s="70"/>
      <c r="J35" s="62"/>
      <c r="K35" s="63"/>
      <c r="L35" s="64"/>
      <c r="M35" s="64"/>
      <c r="N35" s="64"/>
      <c r="O35" s="64"/>
      <c r="P35" s="122"/>
      <c r="Q35" s="48"/>
      <c r="R35" s="48"/>
      <c r="S35" s="48"/>
      <c r="T35" s="48"/>
    </row>
    <row r="36" spans="1:23" ht="15.75" thickBot="1" x14ac:dyDescent="0.3">
      <c r="A36" s="150" t="s">
        <v>32</v>
      </c>
      <c r="B36" s="151"/>
      <c r="C36" s="151"/>
      <c r="D36" s="152"/>
      <c r="E36" s="101">
        <f>SUM(E27:E35)</f>
        <v>89.763246204363867</v>
      </c>
      <c r="F36" s="102" t="s">
        <v>5</v>
      </c>
    </row>
    <row r="37" spans="1:23" ht="15.75" thickBot="1" x14ac:dyDescent="0.3">
      <c r="A37" s="153" t="s">
        <v>74</v>
      </c>
      <c r="B37" s="154"/>
      <c r="C37" s="154"/>
      <c r="D37" s="154"/>
      <c r="E37" s="154"/>
      <c r="F37" s="154"/>
      <c r="G37" s="154"/>
      <c r="H37" s="155"/>
      <c r="I37" s="105">
        <f>SUM(I22:I35)</f>
        <v>0</v>
      </c>
      <c r="J37" s="104" t="s">
        <v>14</v>
      </c>
    </row>
    <row r="38" spans="1:23" ht="15.75" thickBot="1" x14ac:dyDescent="0.3">
      <c r="A38" s="156" t="s">
        <v>33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06">
        <f>SUM(K27:K35)</f>
        <v>232.64000000000001</v>
      </c>
      <c r="L38" s="106" t="s">
        <v>14</v>
      </c>
      <c r="M38">
        <f>K38*380*SQRT(3)</f>
        <v>153118.83395167298</v>
      </c>
      <c r="S38" s="116" t="s">
        <v>77</v>
      </c>
      <c r="T38" s="117" t="s">
        <v>78</v>
      </c>
      <c r="U38" s="118" t="s">
        <v>5</v>
      </c>
      <c r="V38" s="114" t="s">
        <v>76</v>
      </c>
    </row>
    <row r="39" spans="1:23" ht="15.75" thickBot="1" x14ac:dyDescent="0.3">
      <c r="A39" s="165" t="s">
        <v>75</v>
      </c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7"/>
      <c r="Q39" s="111">
        <f>SUM(Q27:Q35)</f>
        <v>112.8771815447608</v>
      </c>
      <c r="R39" s="113">
        <f>SUM(R27:R35)</f>
        <v>67.673731069710072</v>
      </c>
      <c r="S39" s="111">
        <f>SUM(S27:S35)</f>
        <v>80.11087077381228</v>
      </c>
      <c r="T39" s="111">
        <f>SUM(T27:T35)</f>
        <v>47.873475259629799</v>
      </c>
      <c r="U39" s="111">
        <f>SQRT(S39^2-T39^2)</f>
        <v>64.233028752379909</v>
      </c>
      <c r="V39" s="115" t="str">
        <f>CONCATENATE(TRUNC(U39*(COS(ATAN(T39/U39))-TAN(ACOS(0.95))),2)," kVAR")</f>
        <v>30,38 kVAR</v>
      </c>
    </row>
    <row r="40" spans="1:23" x14ac:dyDescent="0.25">
      <c r="V40" s="103">
        <f>T39-U39*(COS(ATAN(T39/U39))-TAN(ACOS(0.95)))</f>
        <v>17.483702092787937</v>
      </c>
      <c r="W40" t="s">
        <v>78</v>
      </c>
    </row>
    <row r="41" spans="1:23" x14ac:dyDescent="0.25">
      <c r="U41" s="103"/>
      <c r="V41" s="103">
        <f>SQRT(V40^2+U39^2)</f>
        <v>66.56997687827014</v>
      </c>
      <c r="W41" t="s">
        <v>77</v>
      </c>
    </row>
    <row r="42" spans="1:23" x14ac:dyDescent="0.25">
      <c r="V42">
        <f>COS(ASIN(V40/V41))</f>
        <v>0.96489486348833231</v>
      </c>
      <c r="W42" t="s">
        <v>56</v>
      </c>
    </row>
    <row r="43" spans="1:23" ht="15.75" customHeight="1" x14ac:dyDescent="0.25">
      <c r="U43">
        <f>S39*1000/((SQRT(3)*380))</f>
        <v>121.71587580598907</v>
      </c>
      <c r="V43">
        <f>V41*1000/((SQRT(3)*380))</f>
        <v>101.1426159753064</v>
      </c>
      <c r="W43" t="s">
        <v>14</v>
      </c>
    </row>
    <row r="44" spans="1:23" ht="15.75" customHeight="1" x14ac:dyDescent="0.25"/>
    <row r="45" spans="1:23" ht="15.75" customHeight="1" thickBot="1" x14ac:dyDescent="0.3">
      <c r="R45" s="103"/>
      <c r="S45" s="103"/>
      <c r="T45" s="103"/>
    </row>
    <row r="46" spans="1:23" ht="15.75" thickBot="1" x14ac:dyDescent="0.3">
      <c r="A46" s="192" t="s">
        <v>34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4"/>
    </row>
    <row r="47" spans="1:23" x14ac:dyDescent="0.25">
      <c r="A47" s="195" t="s">
        <v>0</v>
      </c>
      <c r="B47" s="197" t="s">
        <v>35</v>
      </c>
      <c r="C47" s="198"/>
      <c r="D47" s="199"/>
      <c r="E47" s="201" t="s">
        <v>2</v>
      </c>
      <c r="F47" s="202"/>
      <c r="G47" s="203" t="s">
        <v>36</v>
      </c>
      <c r="H47" s="204"/>
      <c r="I47" s="187" t="s">
        <v>9</v>
      </c>
      <c r="J47" s="188"/>
      <c r="K47" s="187" t="s">
        <v>11</v>
      </c>
      <c r="L47" s="188"/>
      <c r="M47" s="123"/>
      <c r="N47" s="123"/>
      <c r="O47" s="187" t="s">
        <v>12</v>
      </c>
      <c r="P47" s="205"/>
    </row>
    <row r="48" spans="1:23" ht="15.75" thickBot="1" x14ac:dyDescent="0.3">
      <c r="A48" s="196"/>
      <c r="B48" s="174"/>
      <c r="C48" s="200"/>
      <c r="D48" s="175"/>
      <c r="E48" s="174" t="s">
        <v>5</v>
      </c>
      <c r="F48" s="175"/>
      <c r="G48" s="174" t="s">
        <v>37</v>
      </c>
      <c r="H48" s="175"/>
      <c r="I48" s="181" t="s">
        <v>10</v>
      </c>
      <c r="J48" s="186"/>
      <c r="K48" s="181" t="s">
        <v>10</v>
      </c>
      <c r="L48" s="186"/>
      <c r="M48" s="2"/>
      <c r="N48" s="2"/>
      <c r="O48" s="181" t="s">
        <v>10</v>
      </c>
      <c r="P48" s="277"/>
      <c r="R48" s="103"/>
    </row>
    <row r="49" spans="1:16" ht="15.75" thickBot="1" x14ac:dyDescent="0.3">
      <c r="A49" s="22">
        <v>28</v>
      </c>
      <c r="B49" s="189" t="s">
        <v>38</v>
      </c>
      <c r="C49" s="190"/>
      <c r="D49" s="191"/>
      <c r="E49" s="26">
        <v>0</v>
      </c>
      <c r="F49" s="27" t="s">
        <v>5</v>
      </c>
      <c r="G49" s="7">
        <v>0</v>
      </c>
      <c r="H49" s="8" t="s">
        <v>14</v>
      </c>
      <c r="I49" s="28">
        <v>0</v>
      </c>
      <c r="J49" s="29" t="s">
        <v>14</v>
      </c>
      <c r="K49" s="11">
        <v>0</v>
      </c>
      <c r="L49" s="12" t="s">
        <v>14</v>
      </c>
      <c r="M49" s="12"/>
      <c r="N49" s="12"/>
      <c r="O49" s="13">
        <v>0</v>
      </c>
      <c r="P49" s="14" t="s">
        <v>14</v>
      </c>
    </row>
    <row r="50" spans="1:16" ht="15.75" thickBot="1" x14ac:dyDescent="0.3">
      <c r="A50" s="19">
        <v>29</v>
      </c>
      <c r="B50" s="214" t="s">
        <v>39</v>
      </c>
      <c r="C50" s="215"/>
      <c r="D50" s="216"/>
      <c r="E50" s="26">
        <v>0</v>
      </c>
      <c r="F50" s="27" t="s">
        <v>5</v>
      </c>
      <c r="G50" s="7">
        <v>0</v>
      </c>
      <c r="H50" s="8" t="s">
        <v>14</v>
      </c>
      <c r="I50" s="28">
        <v>0</v>
      </c>
      <c r="J50" s="29" t="s">
        <v>14</v>
      </c>
      <c r="K50" s="11">
        <v>0</v>
      </c>
      <c r="L50" s="12" t="s">
        <v>14</v>
      </c>
      <c r="M50" s="12"/>
      <c r="N50" s="12"/>
      <c r="O50" s="13">
        <v>0</v>
      </c>
      <c r="P50" s="14" t="s">
        <v>14</v>
      </c>
    </row>
    <row r="51" spans="1:16" ht="15.75" thickBot="1" x14ac:dyDescent="0.3">
      <c r="A51" s="22">
        <v>30</v>
      </c>
      <c r="B51" s="189" t="s">
        <v>40</v>
      </c>
      <c r="C51" s="190"/>
      <c r="D51" s="191"/>
      <c r="E51" s="26">
        <v>0</v>
      </c>
      <c r="F51" s="27" t="s">
        <v>5</v>
      </c>
      <c r="G51" s="7">
        <v>0</v>
      </c>
      <c r="H51" s="8" t="s">
        <v>14</v>
      </c>
      <c r="I51" s="28">
        <v>0</v>
      </c>
      <c r="J51" s="29" t="s">
        <v>14</v>
      </c>
      <c r="K51" s="11">
        <v>0</v>
      </c>
      <c r="L51" s="12" t="s">
        <v>14</v>
      </c>
      <c r="M51" s="12"/>
      <c r="N51" s="12"/>
      <c r="O51" s="13">
        <v>0</v>
      </c>
      <c r="P51" s="14" t="s">
        <v>14</v>
      </c>
    </row>
    <row r="52" spans="1:16" ht="15.75" thickBot="1" x14ac:dyDescent="0.3">
      <c r="A52" s="19">
        <v>31</v>
      </c>
      <c r="B52" s="217"/>
      <c r="C52" s="218"/>
      <c r="D52" s="219"/>
      <c r="E52" s="30"/>
      <c r="F52" s="30"/>
      <c r="G52" s="18"/>
      <c r="H52" s="18"/>
      <c r="I52" s="31"/>
      <c r="J52" s="31"/>
      <c r="K52" s="32"/>
      <c r="L52" s="32"/>
      <c r="M52" s="32"/>
      <c r="N52" s="32"/>
      <c r="O52" s="33"/>
      <c r="P52" s="34"/>
    </row>
    <row r="53" spans="1:16" ht="15.75" thickBot="1" x14ac:dyDescent="0.3">
      <c r="A53" s="22">
        <v>32</v>
      </c>
      <c r="B53" s="220"/>
      <c r="C53" s="221"/>
      <c r="D53" s="222"/>
      <c r="E53" s="30"/>
      <c r="F53" s="30"/>
      <c r="G53" s="18"/>
      <c r="H53" s="18"/>
      <c r="I53" s="31"/>
      <c r="J53" s="31"/>
      <c r="K53" s="32"/>
      <c r="L53" s="32"/>
      <c r="M53" s="32"/>
      <c r="N53" s="32"/>
      <c r="O53" s="33"/>
      <c r="P53" s="34"/>
    </row>
    <row r="54" spans="1:16" ht="15.75" thickBot="1" x14ac:dyDescent="0.3">
      <c r="A54" s="223" t="s">
        <v>41</v>
      </c>
      <c r="B54" s="224"/>
      <c r="C54" s="224"/>
      <c r="D54" s="225"/>
      <c r="E54" s="35">
        <v>0</v>
      </c>
      <c r="F54" s="25" t="s">
        <v>5</v>
      </c>
      <c r="G54" s="212"/>
      <c r="H54" s="213"/>
      <c r="I54" s="226"/>
      <c r="J54" s="227"/>
      <c r="K54" s="228"/>
      <c r="L54" s="229"/>
      <c r="M54" s="36"/>
      <c r="N54" s="36"/>
      <c r="O54" s="275"/>
      <c r="P54" s="276"/>
    </row>
    <row r="55" spans="1:16" ht="15.75" thickBot="1" x14ac:dyDescent="0.3">
      <c r="A55" s="230" t="s">
        <v>42</v>
      </c>
      <c r="B55" s="231"/>
      <c r="C55" s="231"/>
      <c r="D55" s="231"/>
      <c r="E55" s="231"/>
      <c r="F55" s="232"/>
      <c r="G55" s="206">
        <v>0</v>
      </c>
      <c r="H55" s="207"/>
      <c r="I55" s="208"/>
      <c r="J55" s="209"/>
      <c r="K55" s="210"/>
      <c r="L55" s="211"/>
      <c r="M55" s="37"/>
      <c r="N55" s="37"/>
      <c r="O55" s="270"/>
      <c r="P55" s="271"/>
    </row>
    <row r="56" spans="1:16" ht="15.75" thickBot="1" x14ac:dyDescent="0.3">
      <c r="A56" s="252" t="s">
        <v>43</v>
      </c>
      <c r="B56" s="253"/>
      <c r="C56" s="253"/>
      <c r="D56" s="253"/>
      <c r="E56" s="253"/>
      <c r="F56" s="253"/>
      <c r="G56" s="253"/>
      <c r="H56" s="254"/>
      <c r="I56" s="255">
        <v>0</v>
      </c>
      <c r="J56" s="256"/>
      <c r="K56" s="210"/>
      <c r="L56" s="211"/>
      <c r="M56" s="37"/>
      <c r="N56" s="37"/>
      <c r="O56" s="270"/>
      <c r="P56" s="271"/>
    </row>
    <row r="57" spans="1:16" ht="15.75" thickBot="1" x14ac:dyDescent="0.3">
      <c r="A57" s="257" t="s">
        <v>44</v>
      </c>
      <c r="B57" s="258"/>
      <c r="C57" s="258"/>
      <c r="D57" s="258"/>
      <c r="E57" s="258"/>
      <c r="F57" s="258"/>
      <c r="G57" s="258"/>
      <c r="H57" s="258"/>
      <c r="I57" s="258"/>
      <c r="J57" s="259"/>
      <c r="K57" s="260">
        <v>0</v>
      </c>
      <c r="L57" s="261"/>
      <c r="M57" s="38"/>
      <c r="N57" s="38"/>
      <c r="O57" s="270"/>
      <c r="P57" s="271"/>
    </row>
    <row r="58" spans="1:16" ht="15.75" thickBot="1" x14ac:dyDescent="0.3">
      <c r="A58" s="233" t="s">
        <v>45</v>
      </c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5"/>
      <c r="M58" s="39"/>
      <c r="N58" s="39"/>
      <c r="O58" s="236">
        <v>0</v>
      </c>
      <c r="P58" s="237"/>
    </row>
    <row r="59" spans="1:16" ht="16.5" thickTop="1" thickBot="1" x14ac:dyDescent="0.3">
      <c r="A59" s="238" t="s">
        <v>46</v>
      </c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40"/>
    </row>
    <row r="60" spans="1:16" ht="16.5" thickTop="1" thickBot="1" x14ac:dyDescent="0.3">
      <c r="A60" s="241" t="s">
        <v>47</v>
      </c>
      <c r="B60" s="242"/>
      <c r="C60" s="242"/>
      <c r="D60" s="243"/>
      <c r="E60" s="24">
        <v>0</v>
      </c>
      <c r="F60" s="25" t="s">
        <v>5</v>
      </c>
      <c r="G60" s="244"/>
      <c r="H60" s="245"/>
      <c r="I60" s="246"/>
      <c r="J60" s="247"/>
      <c r="K60" s="248"/>
      <c r="L60" s="249"/>
      <c r="M60" s="40"/>
      <c r="N60" s="40"/>
      <c r="O60" s="250"/>
      <c r="P60" s="251"/>
    </row>
    <row r="61" spans="1:16" ht="15.75" thickBot="1" x14ac:dyDescent="0.3">
      <c r="A61" s="230" t="s">
        <v>48</v>
      </c>
      <c r="B61" s="231"/>
      <c r="C61" s="231"/>
      <c r="D61" s="231"/>
      <c r="E61" s="231"/>
      <c r="F61" s="232"/>
      <c r="G61" s="206">
        <v>0</v>
      </c>
      <c r="H61" s="207"/>
      <c r="I61" s="208"/>
      <c r="J61" s="209"/>
      <c r="K61" s="210"/>
      <c r="L61" s="211"/>
      <c r="M61" s="37"/>
      <c r="N61" s="37"/>
      <c r="O61" s="270"/>
      <c r="P61" s="271"/>
    </row>
    <row r="62" spans="1:16" ht="15.75" thickBot="1" x14ac:dyDescent="0.3">
      <c r="A62" s="252" t="s">
        <v>49</v>
      </c>
      <c r="B62" s="253"/>
      <c r="C62" s="253"/>
      <c r="D62" s="253"/>
      <c r="E62" s="253"/>
      <c r="F62" s="253"/>
      <c r="G62" s="253"/>
      <c r="H62" s="254"/>
      <c r="I62" s="255">
        <v>0</v>
      </c>
      <c r="J62" s="256"/>
      <c r="K62" s="210"/>
      <c r="L62" s="211"/>
      <c r="M62" s="37"/>
      <c r="N62" s="37"/>
      <c r="O62" s="270"/>
      <c r="P62" s="271"/>
    </row>
    <row r="63" spans="1:16" ht="15.75" thickBot="1" x14ac:dyDescent="0.3">
      <c r="A63" s="257" t="s">
        <v>50</v>
      </c>
      <c r="B63" s="258"/>
      <c r="C63" s="258"/>
      <c r="D63" s="258"/>
      <c r="E63" s="258"/>
      <c r="F63" s="258"/>
      <c r="G63" s="258"/>
      <c r="H63" s="258"/>
      <c r="I63" s="258"/>
      <c r="J63" s="259"/>
      <c r="K63" s="260">
        <v>0</v>
      </c>
      <c r="L63" s="261"/>
      <c r="M63" s="38"/>
      <c r="N63" s="38"/>
      <c r="O63" s="270"/>
      <c r="P63" s="271"/>
    </row>
    <row r="64" spans="1:16" ht="15.75" thickBot="1" x14ac:dyDescent="0.3">
      <c r="A64" s="262" t="s">
        <v>51</v>
      </c>
      <c r="B64" s="263"/>
      <c r="C64" s="263"/>
      <c r="D64" s="263"/>
      <c r="E64" s="263"/>
      <c r="F64" s="263"/>
      <c r="G64" s="263"/>
      <c r="H64" s="263"/>
      <c r="I64" s="263"/>
      <c r="J64" s="263"/>
      <c r="K64" s="263"/>
      <c r="L64" s="264"/>
      <c r="M64" s="41"/>
      <c r="N64" s="41"/>
      <c r="O64" s="273">
        <v>0</v>
      </c>
      <c r="P64" s="274"/>
    </row>
    <row r="65" spans="1:16" ht="15.75" thickBot="1" x14ac:dyDescent="0.3">
      <c r="A65" s="265" t="s">
        <v>52</v>
      </c>
      <c r="B65" s="266"/>
      <c r="C65" s="266"/>
      <c r="D65" s="266"/>
      <c r="E65" s="266"/>
      <c r="F65" s="267"/>
      <c r="G65" s="268">
        <v>0</v>
      </c>
      <c r="H65" s="269"/>
      <c r="I65" s="268">
        <v>0</v>
      </c>
      <c r="J65" s="269"/>
      <c r="K65" s="268">
        <v>0</v>
      </c>
      <c r="L65" s="269"/>
      <c r="M65" s="42"/>
      <c r="N65" s="42"/>
      <c r="O65" s="268">
        <v>0</v>
      </c>
      <c r="P65" s="272"/>
    </row>
    <row r="66" spans="1:16" ht="15.75" thickTop="1" x14ac:dyDescent="0.25"/>
    <row r="72" spans="1:16" x14ac:dyDescent="0.25">
      <c r="G72">
        <v>125</v>
      </c>
      <c r="I72">
        <f>G72*1000/(SQRT(3)*380)</f>
        <v>189.91785170711375</v>
      </c>
    </row>
  </sheetData>
  <mergeCells count="88">
    <mergeCell ref="A56:H56"/>
    <mergeCell ref="I56:J56"/>
    <mergeCell ref="K56:L56"/>
    <mergeCell ref="A57:J57"/>
    <mergeCell ref="K57:L57"/>
    <mergeCell ref="O55:P55"/>
    <mergeCell ref="O54:P54"/>
    <mergeCell ref="O57:P57"/>
    <mergeCell ref="O56:P56"/>
    <mergeCell ref="O48:P48"/>
    <mergeCell ref="O62:P62"/>
    <mergeCell ref="O61:P61"/>
    <mergeCell ref="O65:P65"/>
    <mergeCell ref="O64:P64"/>
    <mergeCell ref="O63:P63"/>
    <mergeCell ref="A63:J63"/>
    <mergeCell ref="K63:L63"/>
    <mergeCell ref="A64:L64"/>
    <mergeCell ref="A65:F65"/>
    <mergeCell ref="G65:H65"/>
    <mergeCell ref="I65:J65"/>
    <mergeCell ref="K65:L65"/>
    <mergeCell ref="A61:F61"/>
    <mergeCell ref="G61:H61"/>
    <mergeCell ref="I61:J61"/>
    <mergeCell ref="K61:L61"/>
    <mergeCell ref="A62:H62"/>
    <mergeCell ref="I62:J62"/>
    <mergeCell ref="K62:L62"/>
    <mergeCell ref="A58:L58"/>
    <mergeCell ref="O58:P58"/>
    <mergeCell ref="A59:P59"/>
    <mergeCell ref="A60:D60"/>
    <mergeCell ref="G60:H60"/>
    <mergeCell ref="I60:J60"/>
    <mergeCell ref="K60:L60"/>
    <mergeCell ref="O60:P60"/>
    <mergeCell ref="G55:H55"/>
    <mergeCell ref="I55:J55"/>
    <mergeCell ref="K55:L55"/>
    <mergeCell ref="G54:H54"/>
    <mergeCell ref="B50:D50"/>
    <mergeCell ref="B51:D51"/>
    <mergeCell ref="B52:D52"/>
    <mergeCell ref="B53:D53"/>
    <mergeCell ref="A54:D54"/>
    <mergeCell ref="I54:J54"/>
    <mergeCell ref="K54:L54"/>
    <mergeCell ref="A55:F55"/>
    <mergeCell ref="I48:J48"/>
    <mergeCell ref="K47:L47"/>
    <mergeCell ref="K48:L48"/>
    <mergeCell ref="B49:D49"/>
    <mergeCell ref="A46:P46"/>
    <mergeCell ref="A47:A48"/>
    <mergeCell ref="B47:D48"/>
    <mergeCell ref="E47:F47"/>
    <mergeCell ref="E48:F48"/>
    <mergeCell ref="G47:H47"/>
    <mergeCell ref="G48:H48"/>
    <mergeCell ref="I47:J47"/>
    <mergeCell ref="O47:P47"/>
    <mergeCell ref="A39:P39"/>
    <mergeCell ref="A4:A5"/>
    <mergeCell ref="B4:B5"/>
    <mergeCell ref="C4:D4"/>
    <mergeCell ref="C5:D5"/>
    <mergeCell ref="E4:F4"/>
    <mergeCell ref="E5:F5"/>
    <mergeCell ref="I4:J4"/>
    <mergeCell ref="M4:P4"/>
    <mergeCell ref="A22:J22"/>
    <mergeCell ref="A21:H21"/>
    <mergeCell ref="A23:P23"/>
    <mergeCell ref="I5:J5"/>
    <mergeCell ref="K4:L4"/>
    <mergeCell ref="K5:L5"/>
    <mergeCell ref="A20:D20"/>
    <mergeCell ref="A2:T2"/>
    <mergeCell ref="A1:T1"/>
    <mergeCell ref="A36:D36"/>
    <mergeCell ref="A37:H37"/>
    <mergeCell ref="A38:J38"/>
    <mergeCell ref="A3:T3"/>
    <mergeCell ref="S4:S5"/>
    <mergeCell ref="T4:T5"/>
    <mergeCell ref="Q4:Q5"/>
    <mergeCell ref="R4:R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9A75-FD19-4B12-B24F-F22D88CFB503}">
  <dimension ref="A1:H37"/>
  <sheetViews>
    <sheetView zoomScale="115" zoomScaleNormal="115" workbookViewId="0">
      <selection activeCell="G30" sqref="G30"/>
    </sheetView>
  </sheetViews>
  <sheetFormatPr defaultRowHeight="15" x14ac:dyDescent="0.25"/>
  <cols>
    <col min="2" max="2" width="28" bestFit="1" customWidth="1"/>
    <col min="3" max="3" width="19" customWidth="1"/>
    <col min="4" max="4" width="14.85546875" bestFit="1" customWidth="1"/>
    <col min="6" max="6" width="18.28515625" bestFit="1" customWidth="1"/>
    <col min="7" max="7" width="22.28515625" customWidth="1"/>
  </cols>
  <sheetData>
    <row r="1" spans="1:8" x14ac:dyDescent="0.25">
      <c r="A1" s="128" t="s">
        <v>91</v>
      </c>
      <c r="B1" s="129" t="s">
        <v>79</v>
      </c>
      <c r="C1" s="129" t="s">
        <v>80</v>
      </c>
      <c r="D1" s="129" t="s">
        <v>81</v>
      </c>
      <c r="E1" s="129" t="s">
        <v>82</v>
      </c>
      <c r="F1" s="129" t="s">
        <v>83</v>
      </c>
      <c r="G1" s="129" t="s">
        <v>84</v>
      </c>
      <c r="H1" s="130" t="s">
        <v>88</v>
      </c>
    </row>
    <row r="2" spans="1:8" x14ac:dyDescent="0.25">
      <c r="A2" s="131">
        <v>1</v>
      </c>
      <c r="B2" s="125" t="s">
        <v>13</v>
      </c>
      <c r="C2" s="125">
        <v>10</v>
      </c>
      <c r="D2" s="125" t="s">
        <v>61</v>
      </c>
      <c r="E2" s="125">
        <v>15</v>
      </c>
      <c r="F2" s="126" t="s">
        <v>92</v>
      </c>
      <c r="G2" s="126" t="s">
        <v>85</v>
      </c>
      <c r="H2" s="132" t="s">
        <v>89</v>
      </c>
    </row>
    <row r="3" spans="1:8" x14ac:dyDescent="0.25">
      <c r="A3" s="131">
        <v>2</v>
      </c>
      <c r="B3" s="125" t="s">
        <v>13</v>
      </c>
      <c r="C3" s="125">
        <v>10</v>
      </c>
      <c r="D3" s="125" t="s">
        <v>61</v>
      </c>
      <c r="E3" s="125">
        <v>15</v>
      </c>
      <c r="F3" s="126" t="s">
        <v>92</v>
      </c>
      <c r="G3" s="126" t="s">
        <v>85</v>
      </c>
      <c r="H3" s="132" t="s">
        <v>89</v>
      </c>
    </row>
    <row r="4" spans="1:8" x14ac:dyDescent="0.25">
      <c r="A4" s="131">
        <v>3</v>
      </c>
      <c r="B4" s="125" t="s">
        <v>15</v>
      </c>
      <c r="C4" s="125">
        <v>40</v>
      </c>
      <c r="D4" s="125" t="s">
        <v>61</v>
      </c>
      <c r="E4" s="125">
        <v>61</v>
      </c>
      <c r="F4" s="126" t="s">
        <v>93</v>
      </c>
      <c r="G4" s="126" t="s">
        <v>86</v>
      </c>
      <c r="H4" s="132" t="s">
        <v>89</v>
      </c>
    </row>
    <row r="5" spans="1:8" x14ac:dyDescent="0.25">
      <c r="A5" s="131">
        <v>4</v>
      </c>
      <c r="B5" s="125" t="s">
        <v>16</v>
      </c>
      <c r="C5" s="125">
        <v>30</v>
      </c>
      <c r="D5" s="125" t="s">
        <v>61</v>
      </c>
      <c r="E5" s="125">
        <v>49</v>
      </c>
      <c r="F5" s="126" t="s">
        <v>94</v>
      </c>
      <c r="G5" s="126" t="s">
        <v>87</v>
      </c>
      <c r="H5" s="132" t="s">
        <v>89</v>
      </c>
    </row>
    <row r="6" spans="1:8" x14ac:dyDescent="0.25">
      <c r="A6" s="131">
        <v>5</v>
      </c>
      <c r="B6" s="125" t="s">
        <v>17</v>
      </c>
      <c r="C6" s="125">
        <v>10</v>
      </c>
      <c r="D6" s="125" t="s">
        <v>61</v>
      </c>
      <c r="E6" s="125">
        <v>15</v>
      </c>
      <c r="F6" s="126" t="s">
        <v>92</v>
      </c>
      <c r="G6" s="126" t="s">
        <v>85</v>
      </c>
      <c r="H6" s="132" t="s">
        <v>89</v>
      </c>
    </row>
    <row r="7" spans="1:8" x14ac:dyDescent="0.25">
      <c r="A7" s="131">
        <v>6</v>
      </c>
      <c r="B7" s="125" t="s">
        <v>18</v>
      </c>
      <c r="C7" s="125">
        <v>10</v>
      </c>
      <c r="D7" s="125" t="s">
        <v>61</v>
      </c>
      <c r="E7" s="125">
        <v>15</v>
      </c>
      <c r="F7" s="126" t="s">
        <v>92</v>
      </c>
      <c r="G7" s="126" t="s">
        <v>85</v>
      </c>
      <c r="H7" s="132" t="s">
        <v>89</v>
      </c>
    </row>
    <row r="8" spans="1:8" x14ac:dyDescent="0.25">
      <c r="A8" s="131">
        <v>7</v>
      </c>
      <c r="B8" s="125" t="s">
        <v>19</v>
      </c>
      <c r="C8" s="125">
        <v>10</v>
      </c>
      <c r="D8" s="125" t="s">
        <v>62</v>
      </c>
      <c r="E8" s="125">
        <v>15</v>
      </c>
      <c r="F8" s="126" t="s">
        <v>92</v>
      </c>
      <c r="G8" s="126" t="s">
        <v>90</v>
      </c>
      <c r="H8" s="132" t="s">
        <v>89</v>
      </c>
    </row>
    <row r="9" spans="1:8" x14ac:dyDescent="0.25">
      <c r="A9" s="131">
        <v>8</v>
      </c>
      <c r="B9" s="125" t="s">
        <v>20</v>
      </c>
      <c r="C9" s="125">
        <v>10</v>
      </c>
      <c r="D9" s="125" t="s">
        <v>62</v>
      </c>
      <c r="E9" s="125">
        <v>15</v>
      </c>
      <c r="F9" s="126" t="s">
        <v>92</v>
      </c>
      <c r="G9" s="126" t="s">
        <v>90</v>
      </c>
      <c r="H9" s="132" t="s">
        <v>89</v>
      </c>
    </row>
    <row r="10" spans="1:8" x14ac:dyDescent="0.25">
      <c r="A10" s="131">
        <v>9</v>
      </c>
      <c r="B10" s="125" t="s">
        <v>21</v>
      </c>
      <c r="C10" s="125">
        <v>30</v>
      </c>
      <c r="D10" s="125" t="s">
        <v>66</v>
      </c>
      <c r="E10" s="125">
        <v>49</v>
      </c>
      <c r="F10" s="126" t="s">
        <v>94</v>
      </c>
      <c r="G10" s="125" t="s">
        <v>54</v>
      </c>
      <c r="H10" s="133" t="s">
        <v>89</v>
      </c>
    </row>
    <row r="11" spans="1:8" x14ac:dyDescent="0.25">
      <c r="A11" s="131">
        <v>10</v>
      </c>
      <c r="B11" s="125" t="s">
        <v>21</v>
      </c>
      <c r="C11" s="125">
        <v>30</v>
      </c>
      <c r="D11" s="125" t="s">
        <v>66</v>
      </c>
      <c r="E11" s="125">
        <v>49</v>
      </c>
      <c r="F11" s="126" t="s">
        <v>94</v>
      </c>
      <c r="G11" s="125" t="s">
        <v>54</v>
      </c>
      <c r="H11" s="133" t="s">
        <v>89</v>
      </c>
    </row>
    <row r="12" spans="1:8" x14ac:dyDescent="0.25">
      <c r="A12" s="131">
        <v>11</v>
      </c>
      <c r="B12" s="125" t="s">
        <v>21</v>
      </c>
      <c r="C12" s="125">
        <v>40</v>
      </c>
      <c r="D12" s="125" t="s">
        <v>66</v>
      </c>
      <c r="E12" s="125">
        <v>61</v>
      </c>
      <c r="F12" s="126" t="s">
        <v>93</v>
      </c>
      <c r="G12" s="125" t="s">
        <v>54</v>
      </c>
      <c r="H12" s="133" t="s">
        <v>89</v>
      </c>
    </row>
    <row r="13" spans="1:8" x14ac:dyDescent="0.25">
      <c r="A13" s="131">
        <v>12</v>
      </c>
      <c r="B13" s="125" t="s">
        <v>22</v>
      </c>
      <c r="C13" s="125" t="s">
        <v>54</v>
      </c>
      <c r="D13" s="125" t="s">
        <v>66</v>
      </c>
      <c r="E13" s="125">
        <v>9</v>
      </c>
      <c r="F13" s="125"/>
      <c r="G13" s="125"/>
      <c r="H13" s="133"/>
    </row>
    <row r="14" spans="1:8" x14ac:dyDescent="0.25">
      <c r="A14" s="131">
        <v>13</v>
      </c>
      <c r="B14" s="125" t="s">
        <v>22</v>
      </c>
      <c r="C14" s="125" t="s">
        <v>54</v>
      </c>
      <c r="D14" s="125" t="s">
        <v>66</v>
      </c>
      <c r="E14" s="125">
        <v>8.1818181818181817</v>
      </c>
      <c r="F14" s="125"/>
      <c r="G14" s="125"/>
      <c r="H14" s="133"/>
    </row>
    <row r="15" spans="1:8" ht="15.75" thickBot="1" x14ac:dyDescent="0.3">
      <c r="A15" s="134">
        <v>14</v>
      </c>
      <c r="B15" s="135" t="s">
        <v>63</v>
      </c>
      <c r="C15" s="135">
        <v>1</v>
      </c>
      <c r="D15" s="135" t="s">
        <v>62</v>
      </c>
      <c r="E15" s="135">
        <v>1.8</v>
      </c>
      <c r="F15" s="135"/>
      <c r="G15" s="135"/>
      <c r="H15" s="136"/>
    </row>
    <row r="16" spans="1:8" ht="15.75" thickBot="1" x14ac:dyDescent="0.3">
      <c r="A16" s="138"/>
      <c r="B16" s="137"/>
      <c r="C16" s="137"/>
      <c r="D16" s="137"/>
      <c r="E16" s="137"/>
      <c r="F16" s="137"/>
      <c r="G16" s="137"/>
      <c r="H16" s="137"/>
    </row>
    <row r="17" spans="1:8" x14ac:dyDescent="0.25">
      <c r="A17" s="278" t="s">
        <v>106</v>
      </c>
      <c r="B17" s="279"/>
      <c r="C17" s="279"/>
      <c r="D17" s="279"/>
      <c r="E17" s="280"/>
      <c r="F17" s="137"/>
      <c r="G17" s="137"/>
      <c r="H17" s="137"/>
    </row>
    <row r="18" spans="1:8" ht="15.75" thickBot="1" x14ac:dyDescent="0.3">
      <c r="A18" s="281"/>
      <c r="B18" s="282"/>
      <c r="C18" s="282"/>
      <c r="D18" s="282"/>
      <c r="E18" s="283"/>
    </row>
    <row r="19" spans="1:8" x14ac:dyDescent="0.25">
      <c r="A19" s="128" t="s">
        <v>91</v>
      </c>
      <c r="B19" s="129" t="s">
        <v>101</v>
      </c>
      <c r="C19" s="129" t="s">
        <v>95</v>
      </c>
      <c r="D19" s="129" t="s">
        <v>96</v>
      </c>
      <c r="E19" s="130" t="s">
        <v>97</v>
      </c>
    </row>
    <row r="20" spans="1:8" ht="30" x14ac:dyDescent="0.25">
      <c r="A20" s="131">
        <v>1</v>
      </c>
      <c r="B20" s="125" t="s">
        <v>102</v>
      </c>
      <c r="C20" s="127" t="s">
        <v>110</v>
      </c>
      <c r="D20" s="125">
        <v>6</v>
      </c>
      <c r="E20" s="133" t="s">
        <v>98</v>
      </c>
    </row>
    <row r="21" spans="1:8" ht="30" x14ac:dyDescent="0.25">
      <c r="A21" s="131">
        <v>2</v>
      </c>
      <c r="B21" s="125" t="s">
        <v>103</v>
      </c>
      <c r="C21" s="127" t="s">
        <v>99</v>
      </c>
      <c r="D21" s="125">
        <v>1</v>
      </c>
      <c r="E21" s="133" t="s">
        <v>97</v>
      </c>
    </row>
    <row r="22" spans="1:8" ht="30" x14ac:dyDescent="0.25">
      <c r="A22" s="131">
        <v>3</v>
      </c>
      <c r="B22" s="125" t="s">
        <v>103</v>
      </c>
      <c r="C22" s="127" t="s">
        <v>100</v>
      </c>
      <c r="D22" s="125">
        <v>1</v>
      </c>
      <c r="E22" s="133" t="s">
        <v>97</v>
      </c>
    </row>
    <row r="23" spans="1:8" x14ac:dyDescent="0.25">
      <c r="A23" s="131">
        <v>4</v>
      </c>
      <c r="B23" s="125" t="s">
        <v>83</v>
      </c>
      <c r="C23" s="125" t="s">
        <v>92</v>
      </c>
      <c r="D23" s="125">
        <f>COUNTIF($F$2:$F$13,C23)</f>
        <v>6</v>
      </c>
      <c r="E23" s="133" t="s">
        <v>97</v>
      </c>
    </row>
    <row r="24" spans="1:8" x14ac:dyDescent="0.25">
      <c r="A24" s="131">
        <v>5</v>
      </c>
      <c r="B24" s="125" t="s">
        <v>83</v>
      </c>
      <c r="C24" s="125" t="s">
        <v>93</v>
      </c>
      <c r="D24" s="125">
        <f>COUNTIF($F$2:$F$13,C24)</f>
        <v>2</v>
      </c>
      <c r="E24" s="133" t="s">
        <v>97</v>
      </c>
    </row>
    <row r="25" spans="1:8" x14ac:dyDescent="0.25">
      <c r="A25" s="131">
        <v>6</v>
      </c>
      <c r="B25" s="125" t="s">
        <v>83</v>
      </c>
      <c r="C25" s="125" t="s">
        <v>94</v>
      </c>
      <c r="D25" s="125">
        <f>COUNTIF($F$2:$F$13,C25)</f>
        <v>3</v>
      </c>
      <c r="E25" s="133" t="s">
        <v>97</v>
      </c>
    </row>
    <row r="26" spans="1:8" hidden="1" x14ac:dyDescent="0.25">
      <c r="A26" s="144">
        <v>7</v>
      </c>
      <c r="B26" s="145" t="s">
        <v>104</v>
      </c>
      <c r="C26" s="145" t="s">
        <v>86</v>
      </c>
      <c r="D26" s="145" t="s">
        <v>54</v>
      </c>
      <c r="E26" s="146" t="s">
        <v>97</v>
      </c>
    </row>
    <row r="27" spans="1:8" hidden="1" x14ac:dyDescent="0.25">
      <c r="A27" s="144">
        <v>8</v>
      </c>
      <c r="B27" s="145" t="s">
        <v>104</v>
      </c>
      <c r="C27" s="145" t="s">
        <v>87</v>
      </c>
      <c r="D27" s="145" t="s">
        <v>54</v>
      </c>
      <c r="E27" s="146" t="s">
        <v>97</v>
      </c>
    </row>
    <row r="28" spans="1:8" hidden="1" x14ac:dyDescent="0.25">
      <c r="A28" s="144">
        <v>9</v>
      </c>
      <c r="B28" s="145" t="s">
        <v>104</v>
      </c>
      <c r="C28" s="145" t="s">
        <v>85</v>
      </c>
      <c r="D28" s="145" t="s">
        <v>54</v>
      </c>
      <c r="E28" s="146" t="s">
        <v>97</v>
      </c>
    </row>
    <row r="29" spans="1:8" hidden="1" x14ac:dyDescent="0.25">
      <c r="A29" s="144">
        <v>10</v>
      </c>
      <c r="B29" s="145" t="s">
        <v>104</v>
      </c>
      <c r="C29" s="145" t="s">
        <v>90</v>
      </c>
      <c r="D29" s="145" t="s">
        <v>54</v>
      </c>
      <c r="E29" s="146" t="s">
        <v>97</v>
      </c>
    </row>
    <row r="30" spans="1:8" x14ac:dyDescent="0.25">
      <c r="A30" s="139">
        <v>11</v>
      </c>
      <c r="B30" s="140" t="s">
        <v>105</v>
      </c>
      <c r="C30" s="140" t="s">
        <v>89</v>
      </c>
      <c r="D30" s="140">
        <v>11</v>
      </c>
      <c r="E30" s="141" t="s">
        <v>97</v>
      </c>
    </row>
    <row r="31" spans="1:8" ht="30" x14ac:dyDescent="0.25">
      <c r="A31" s="139">
        <v>12</v>
      </c>
      <c r="B31" s="140" t="s">
        <v>107</v>
      </c>
      <c r="C31" s="142" t="s">
        <v>119</v>
      </c>
      <c r="D31" s="140">
        <v>100</v>
      </c>
      <c r="E31" s="141" t="s">
        <v>97</v>
      </c>
    </row>
    <row r="32" spans="1:8" x14ac:dyDescent="0.25">
      <c r="A32" s="139">
        <v>13</v>
      </c>
      <c r="B32" s="140" t="s">
        <v>108</v>
      </c>
      <c r="C32" s="140" t="s">
        <v>118</v>
      </c>
      <c r="D32" s="140">
        <v>30</v>
      </c>
      <c r="E32" s="141" t="s">
        <v>97</v>
      </c>
    </row>
    <row r="33" spans="1:5" x14ac:dyDescent="0.25">
      <c r="A33" s="139">
        <v>14</v>
      </c>
      <c r="B33" s="140" t="s">
        <v>109</v>
      </c>
      <c r="C33" s="140"/>
      <c r="D33" s="140">
        <v>50</v>
      </c>
      <c r="E33" s="141" t="s">
        <v>97</v>
      </c>
    </row>
    <row r="34" spans="1:5" x14ac:dyDescent="0.25">
      <c r="A34" s="139">
        <v>15</v>
      </c>
      <c r="B34" s="140" t="s">
        <v>111</v>
      </c>
      <c r="C34" s="140" t="s">
        <v>111</v>
      </c>
      <c r="D34" s="140">
        <v>100</v>
      </c>
      <c r="E34" s="141" t="s">
        <v>97</v>
      </c>
    </row>
    <row r="35" spans="1:5" ht="30" x14ac:dyDescent="0.25">
      <c r="A35" s="139">
        <v>16</v>
      </c>
      <c r="B35" s="142" t="s">
        <v>113</v>
      </c>
      <c r="C35" s="142" t="s">
        <v>112</v>
      </c>
      <c r="D35" s="140">
        <v>500</v>
      </c>
      <c r="E35" s="141" t="s">
        <v>97</v>
      </c>
    </row>
    <row r="36" spans="1:5" ht="30" x14ac:dyDescent="0.25">
      <c r="A36" s="139">
        <v>17</v>
      </c>
      <c r="B36" s="142" t="s">
        <v>115</v>
      </c>
      <c r="C36" s="142" t="s">
        <v>114</v>
      </c>
      <c r="D36" s="140">
        <v>500</v>
      </c>
      <c r="E36" s="141" t="s">
        <v>97</v>
      </c>
    </row>
    <row r="37" spans="1:5" ht="30.75" thickBot="1" x14ac:dyDescent="0.3">
      <c r="A37" s="134">
        <v>18</v>
      </c>
      <c r="B37" s="143" t="s">
        <v>117</v>
      </c>
      <c r="C37" s="143" t="s">
        <v>116</v>
      </c>
      <c r="D37" s="135">
        <v>1</v>
      </c>
      <c r="E37" s="136" t="s">
        <v>97</v>
      </c>
    </row>
  </sheetData>
  <mergeCells count="1">
    <mergeCell ref="A17:E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Planilha1</vt:lpstr>
      <vt:lpstr>Planilha2</vt:lpstr>
      <vt:lpstr>QUADRO ALBOORG</vt:lpstr>
      <vt:lpstr>Planilha2!_Hlk120515240</vt:lpstr>
      <vt:lpstr>Planilha2!_Hlk120784569</vt:lpstr>
      <vt:lpstr>Planilha2!_Hlk120785108</vt:lpstr>
      <vt:lpstr>Planilha2!_Hlk120787190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Rocha</dc:creator>
  <cp:lastModifiedBy>Lucas Rocha</cp:lastModifiedBy>
  <dcterms:created xsi:type="dcterms:W3CDTF">2022-12-01T14:52:09Z</dcterms:created>
  <dcterms:modified xsi:type="dcterms:W3CDTF">2023-02-13T18:10:41Z</dcterms:modified>
</cp:coreProperties>
</file>