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3580" windowHeight="8805"/>
  </bookViews>
  <sheets>
    <sheet name="Anual Barriles" sheetId="2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AF29" i="2"/>
  <c r="AF9"/>
  <c r="AF31"/>
  <c r="L51" l="1"/>
  <c r="K51"/>
  <c r="J51"/>
  <c r="I51"/>
  <c r="H51"/>
  <c r="G51"/>
  <c r="F51"/>
  <c r="E51"/>
  <c r="D51"/>
  <c r="C51"/>
  <c r="B51"/>
  <c r="H49"/>
  <c r="G49"/>
  <c r="N48"/>
  <c r="L48"/>
  <c r="K48"/>
  <c r="J48"/>
  <c r="I48"/>
  <c r="H48"/>
  <c r="G48"/>
  <c r="F48"/>
  <c r="G47"/>
  <c r="F47"/>
  <c r="E47"/>
  <c r="D47"/>
  <c r="C47"/>
  <c r="B47"/>
  <c r="L46"/>
  <c r="K46"/>
  <c r="J46"/>
  <c r="I46"/>
  <c r="H46"/>
  <c r="G46"/>
  <c r="F46"/>
  <c r="E46"/>
  <c r="D46"/>
  <c r="C46"/>
  <c r="B46"/>
  <c r="L45"/>
  <c r="K45"/>
  <c r="J45"/>
  <c r="I45"/>
  <c r="H45"/>
  <c r="G45"/>
  <c r="F45"/>
  <c r="E45"/>
  <c r="D45"/>
  <c r="C45"/>
  <c r="B45"/>
  <c r="Z44"/>
  <c r="F44"/>
  <c r="E44"/>
  <c r="L43"/>
  <c r="K43"/>
  <c r="L42"/>
  <c r="K42"/>
  <c r="J42"/>
  <c r="I42"/>
  <c r="H42"/>
  <c r="G42"/>
  <c r="F42"/>
  <c r="E42"/>
  <c r="F41"/>
  <c r="E41"/>
  <c r="L40"/>
  <c r="K40"/>
  <c r="J40"/>
  <c r="I40"/>
  <c r="H40"/>
  <c r="G40"/>
  <c r="F40"/>
  <c r="E40"/>
  <c r="D40"/>
  <c r="C40"/>
  <c r="B40"/>
  <c r="K39"/>
  <c r="K38"/>
  <c r="K37"/>
  <c r="K36"/>
  <c r="G39"/>
  <c r="G38"/>
  <c r="G37"/>
  <c r="G36"/>
  <c r="E39"/>
  <c r="D39"/>
  <c r="C39"/>
  <c r="B39"/>
  <c r="AA38"/>
  <c r="Z38"/>
  <c r="N38"/>
  <c r="N37"/>
  <c r="N36"/>
  <c r="L38"/>
  <c r="J38"/>
  <c r="I38"/>
  <c r="H38"/>
  <c r="M36"/>
  <c r="L36"/>
  <c r="J36"/>
  <c r="I36"/>
  <c r="H36"/>
  <c r="F38"/>
  <c r="E38"/>
  <c r="F37"/>
  <c r="E37"/>
  <c r="F36"/>
  <c r="E36"/>
  <c r="D36"/>
  <c r="C36"/>
  <c r="B36"/>
  <c r="F34"/>
  <c r="E34"/>
  <c r="D34"/>
  <c r="C34"/>
  <c r="L32"/>
  <c r="K32"/>
  <c r="J32"/>
  <c r="I32"/>
  <c r="H32"/>
  <c r="G32"/>
  <c r="F32"/>
  <c r="E32"/>
  <c r="D32"/>
  <c r="C32"/>
  <c r="AA30"/>
  <c r="L30"/>
  <c r="K30"/>
  <c r="J30"/>
  <c r="I30"/>
  <c r="H30"/>
  <c r="G30"/>
  <c r="F30"/>
  <c r="E30"/>
  <c r="D30"/>
  <c r="C30"/>
  <c r="B30"/>
  <c r="N29"/>
  <c r="M29"/>
  <c r="L29"/>
  <c r="K29"/>
  <c r="J29"/>
  <c r="I29"/>
  <c r="H29"/>
  <c r="G29"/>
  <c r="F29"/>
  <c r="E29"/>
  <c r="D29"/>
  <c r="C29"/>
  <c r="B29"/>
  <c r="L28"/>
  <c r="K28"/>
  <c r="J28"/>
  <c r="I28"/>
  <c r="H28"/>
  <c r="G28"/>
  <c r="F28"/>
  <c r="E28"/>
  <c r="B26"/>
  <c r="L24"/>
  <c r="K24"/>
  <c r="J24"/>
  <c r="I24"/>
  <c r="H24"/>
  <c r="G24"/>
  <c r="F24"/>
  <c r="E24"/>
  <c r="D24"/>
  <c r="C24"/>
  <c r="B24"/>
  <c r="J23"/>
  <c r="I23"/>
  <c r="H23"/>
  <c r="G23"/>
  <c r="F23"/>
  <c r="E23"/>
  <c r="D23"/>
  <c r="C23"/>
  <c r="B23"/>
  <c r="N22"/>
  <c r="N20"/>
  <c r="N19"/>
  <c r="L22"/>
  <c r="K22"/>
  <c r="J22"/>
  <c r="I22"/>
  <c r="H22"/>
  <c r="G22"/>
  <c r="F22"/>
  <c r="E22"/>
  <c r="D22"/>
  <c r="C22"/>
  <c r="B22"/>
  <c r="O20"/>
  <c r="O19"/>
  <c r="M21"/>
  <c r="AA20"/>
  <c r="Z20"/>
  <c r="Y20"/>
  <c r="X20"/>
  <c r="AB19"/>
  <c r="AA19"/>
  <c r="Z19"/>
  <c r="Y19"/>
  <c r="Y21" s="1"/>
  <c r="X19"/>
  <c r="X21" s="1"/>
  <c r="V20"/>
  <c r="U20"/>
  <c r="T20"/>
  <c r="S20"/>
  <c r="V19"/>
  <c r="V21" s="1"/>
  <c r="U19"/>
  <c r="U21" s="1"/>
  <c r="T19"/>
  <c r="T21" s="1"/>
  <c r="S19"/>
  <c r="S21" s="1"/>
  <c r="AB15"/>
  <c r="N14"/>
  <c r="L20"/>
  <c r="K20"/>
  <c r="J20"/>
  <c r="I20"/>
  <c r="H20"/>
  <c r="G20"/>
  <c r="F20"/>
  <c r="E20"/>
  <c r="D20"/>
  <c r="C20"/>
  <c r="B20"/>
  <c r="L19"/>
  <c r="L21" s="1"/>
  <c r="K19"/>
  <c r="J19"/>
  <c r="J21" s="1"/>
  <c r="I19"/>
  <c r="I21" s="1"/>
  <c r="H19"/>
  <c r="H21" s="1"/>
  <c r="G19"/>
  <c r="F19"/>
  <c r="F21" s="1"/>
  <c r="E19"/>
  <c r="E21" s="1"/>
  <c r="D19"/>
  <c r="D21" s="1"/>
  <c r="C19"/>
  <c r="B19"/>
  <c r="B21" s="1"/>
  <c r="L18"/>
  <c r="K18"/>
  <c r="J18"/>
  <c r="I18"/>
  <c r="H18"/>
  <c r="G18"/>
  <c r="F18"/>
  <c r="E18"/>
  <c r="D18"/>
  <c r="C18"/>
  <c r="B18"/>
  <c r="L17"/>
  <c r="K17"/>
  <c r="J17"/>
  <c r="I17"/>
  <c r="H17"/>
  <c r="G17"/>
  <c r="F17"/>
  <c r="E17"/>
  <c r="D17"/>
  <c r="C17"/>
  <c r="B17"/>
  <c r="L16"/>
  <c r="K16"/>
  <c r="J16"/>
  <c r="I16"/>
  <c r="H16"/>
  <c r="G16"/>
  <c r="F16"/>
  <c r="E16"/>
  <c r="D16"/>
  <c r="C16"/>
  <c r="B16"/>
  <c r="L15"/>
  <c r="K15"/>
  <c r="J15"/>
  <c r="I15"/>
  <c r="H15"/>
  <c r="G15"/>
  <c r="F15"/>
  <c r="E15"/>
  <c r="D15"/>
  <c r="C15"/>
  <c r="B15"/>
  <c r="L14"/>
  <c r="K14"/>
  <c r="J14"/>
  <c r="I14"/>
  <c r="H14"/>
  <c r="G14"/>
  <c r="F14"/>
  <c r="E14"/>
  <c r="D14"/>
  <c r="C14"/>
  <c r="B14"/>
  <c r="AB11"/>
  <c r="AA11"/>
  <c r="L12"/>
  <c r="K12"/>
  <c r="J12"/>
  <c r="I12"/>
  <c r="H12"/>
  <c r="G12"/>
  <c r="F12"/>
  <c r="E12"/>
  <c r="D12"/>
  <c r="C12"/>
  <c r="B12"/>
  <c r="L11"/>
  <c r="K11"/>
  <c r="J11"/>
  <c r="I11"/>
  <c r="H11"/>
  <c r="G11"/>
  <c r="F11"/>
  <c r="E11"/>
  <c r="D11"/>
  <c r="C11"/>
  <c r="B11"/>
  <c r="AD9"/>
  <c r="AC9"/>
  <c r="AB9"/>
  <c r="AA9"/>
  <c r="Z9"/>
  <c r="Y9"/>
  <c r="X9"/>
  <c r="V9"/>
  <c r="U9"/>
  <c r="T9"/>
  <c r="S9"/>
  <c r="R9"/>
  <c r="Q9"/>
  <c r="P9"/>
  <c r="J10"/>
  <c r="I10"/>
  <c r="H10"/>
  <c r="G10"/>
  <c r="F10"/>
  <c r="E10"/>
  <c r="D10"/>
  <c r="C10"/>
  <c r="B10"/>
  <c r="J9"/>
  <c r="I9"/>
  <c r="H9"/>
  <c r="G9"/>
  <c r="F9"/>
  <c r="E9"/>
  <c r="D9"/>
  <c r="C9"/>
  <c r="B9"/>
  <c r="S8"/>
  <c r="Q8"/>
  <c r="P8"/>
  <c r="M8"/>
  <c r="F8"/>
  <c r="E8"/>
  <c r="D8"/>
  <c r="C8"/>
  <c r="B8"/>
  <c r="Q7"/>
  <c r="Q51" s="1"/>
  <c r="P7"/>
  <c r="P51" s="1"/>
  <c r="M7"/>
  <c r="F7"/>
  <c r="E7"/>
  <c r="D7"/>
  <c r="C7"/>
  <c r="B7"/>
  <c r="N21" l="1"/>
  <c r="N7" s="1"/>
  <c r="N51" s="1"/>
  <c r="Z21"/>
  <c r="O21"/>
  <c r="AA21"/>
  <c r="M51"/>
  <c r="C21"/>
  <c r="G21"/>
  <c r="K21"/>
  <c r="I7"/>
  <c r="I8"/>
  <c r="H8"/>
  <c r="H7"/>
  <c r="L8"/>
  <c r="L7"/>
  <c r="O8"/>
  <c r="O7"/>
  <c r="O51" s="1"/>
  <c r="G8"/>
  <c r="G7"/>
  <c r="K8"/>
  <c r="K7"/>
  <c r="J8"/>
  <c r="J7"/>
  <c r="N8" l="1"/>
</calcChain>
</file>

<file path=xl/sharedStrings.xml><?xml version="1.0" encoding="utf-8"?>
<sst xmlns="http://schemas.openxmlformats.org/spreadsheetml/2006/main" count="52" uniqueCount="40">
  <si>
    <t>RECOPE</t>
  </si>
  <si>
    <t>VENTAS ANUALES POR PRODUCTO</t>
  </si>
  <si>
    <t>PRODUCTO</t>
  </si>
  <si>
    <t>NAC. CON ICE</t>
  </si>
  <si>
    <t>NAC. SIN ICE</t>
  </si>
  <si>
    <t>TOTAL GASOLINAS</t>
  </si>
  <si>
    <t>GAS. PLUS 91</t>
  </si>
  <si>
    <t>DIESEL</t>
  </si>
  <si>
    <t>KEROSENE</t>
  </si>
  <si>
    <t>BUNKER</t>
  </si>
  <si>
    <t>L.P.G.</t>
  </si>
  <si>
    <t>ASFALTO AC-20</t>
  </si>
  <si>
    <t>EMULSION</t>
  </si>
  <si>
    <t>JET A-1 (Gral.)</t>
  </si>
  <si>
    <t>JET A-1 (Turist.)</t>
  </si>
  <si>
    <t>AV-GAS</t>
  </si>
  <si>
    <t>NAFTA LIVIANA</t>
  </si>
  <si>
    <t>NAFTA PESADA</t>
  </si>
  <si>
    <t>IFO-380</t>
  </si>
  <si>
    <t>ASFALTO PG-70</t>
  </si>
  <si>
    <t>GAS. SUPER</t>
  </si>
  <si>
    <t>I.C.E.</t>
  </si>
  <si>
    <t>DIESEL 0,50</t>
  </si>
  <si>
    <t>EXPORTACIONES</t>
  </si>
  <si>
    <t>JET A-1</t>
  </si>
  <si>
    <t>JET PREF.</t>
  </si>
  <si>
    <t>IFO-180</t>
  </si>
  <si>
    <t>M.D.O.</t>
  </si>
  <si>
    <t>TOTAL GENERAL</t>
  </si>
  <si>
    <t>(BARRILES)</t>
  </si>
  <si>
    <t>REP.:EST 198</t>
  </si>
  <si>
    <t>DIESEL PESADO</t>
  </si>
  <si>
    <t>ASFATO AC-30</t>
  </si>
  <si>
    <t>DIESEL PES.</t>
  </si>
  <si>
    <t>CRUDO LIVIANO</t>
  </si>
  <si>
    <t>BUNKER BAJO AZUFRE</t>
  </si>
  <si>
    <t>BUNKER-C</t>
  </si>
  <si>
    <t>BUNKER C</t>
  </si>
  <si>
    <t>DEPARTAMENTO DE SERVICIO AL CLIENTE</t>
  </si>
  <si>
    <t>PERIODO 2006 al 2016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</si>
</sst>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Narrow"/>
      <family val="2"/>
    </font>
    <font>
      <b/>
      <sz val="11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0" fontId="0" fillId="2" borderId="0" xfId="0" applyFill="1"/>
    <xf numFmtId="41" fontId="3" fillId="2" borderId="0" xfId="0" applyNumberFormat="1" applyFont="1" applyFill="1" applyBorder="1"/>
    <xf numFmtId="0" fontId="3" fillId="2" borderId="0" xfId="0" applyFont="1" applyFill="1"/>
    <xf numFmtId="0" fontId="3" fillId="2" borderId="0" xfId="0" applyFont="1" applyFill="1" applyAlignment="1"/>
    <xf numFmtId="0" fontId="10" fillId="2" borderId="0" xfId="0" applyFont="1" applyFill="1"/>
    <xf numFmtId="3" fontId="3" fillId="2" borderId="3" xfId="0" applyNumberFormat="1" applyFont="1" applyFill="1" applyBorder="1"/>
    <xf numFmtId="3" fontId="3" fillId="2" borderId="2" xfId="0" applyNumberFormat="1" applyFont="1" applyFill="1" applyBorder="1"/>
    <xf numFmtId="3" fontId="0" fillId="2" borderId="2" xfId="0" applyNumberFormat="1" applyFill="1" applyBorder="1"/>
    <xf numFmtId="3" fontId="0" fillId="2" borderId="3" xfId="0" applyNumberFormat="1" applyFill="1" applyBorder="1"/>
    <xf numFmtId="0" fontId="7" fillId="2" borderId="5" xfId="0" applyFont="1" applyFill="1" applyBorder="1"/>
    <xf numFmtId="3" fontId="7" fillId="2" borderId="5" xfId="0" applyNumberFormat="1" applyFont="1" applyFill="1" applyBorder="1"/>
    <xf numFmtId="0" fontId="0" fillId="2" borderId="4" xfId="0" applyFill="1" applyBorder="1"/>
    <xf numFmtId="3" fontId="0" fillId="2" borderId="4" xfId="0" applyNumberFormat="1" applyFill="1" applyBorder="1"/>
    <xf numFmtId="41" fontId="7" fillId="2" borderId="5" xfId="0" applyNumberFormat="1" applyFont="1" applyFill="1" applyBorder="1"/>
    <xf numFmtId="3" fontId="0" fillId="2" borderId="5" xfId="0" applyNumberFormat="1" applyFill="1" applyBorder="1"/>
    <xf numFmtId="3" fontId="3" fillId="2" borderId="5" xfId="0" applyNumberFormat="1" applyFont="1" applyFill="1" applyBorder="1"/>
    <xf numFmtId="41" fontId="7" fillId="2" borderId="3" xfId="0" applyNumberFormat="1" applyFont="1" applyFill="1" applyBorder="1"/>
    <xf numFmtId="3" fontId="3" fillId="2" borderId="4" xfId="0" applyNumberFormat="1" applyFont="1" applyFill="1" applyBorder="1"/>
    <xf numFmtId="41" fontId="3" fillId="2" borderId="5" xfId="0" applyNumberFormat="1" applyFont="1" applyFill="1" applyBorder="1"/>
    <xf numFmtId="41" fontId="3" fillId="2" borderId="6" xfId="0" applyNumberFormat="1" applyFont="1" applyFill="1" applyBorder="1"/>
    <xf numFmtId="3" fontId="3" fillId="2" borderId="6" xfId="0" applyNumberFormat="1" applyFont="1" applyFill="1" applyBorder="1"/>
    <xf numFmtId="41" fontId="3" fillId="2" borderId="3" xfId="0" applyNumberFormat="1" applyFont="1" applyFill="1" applyBorder="1"/>
    <xf numFmtId="41" fontId="3" fillId="2" borderId="8" xfId="0" applyNumberFormat="1" applyFont="1" applyFill="1" applyBorder="1"/>
    <xf numFmtId="41" fontId="3" fillId="2" borderId="2" xfId="0" applyNumberFormat="1" applyFont="1" applyFill="1" applyBorder="1"/>
    <xf numFmtId="41" fontId="7" fillId="2" borderId="1" xfId="0" applyNumberFormat="1" applyFont="1" applyFill="1" applyBorder="1"/>
    <xf numFmtId="41" fontId="7" fillId="2" borderId="2" xfId="0" applyNumberFormat="1" applyFont="1" applyFill="1" applyBorder="1"/>
    <xf numFmtId="41" fontId="0" fillId="2" borderId="3" xfId="0" applyNumberFormat="1" applyFill="1" applyBorder="1"/>
    <xf numFmtId="41" fontId="0" fillId="2" borderId="2" xfId="0" applyNumberFormat="1" applyFill="1" applyBorder="1"/>
    <xf numFmtId="41" fontId="7" fillId="2" borderId="0" xfId="0" applyNumberFormat="1" applyFont="1" applyFill="1" applyBorder="1"/>
    <xf numFmtId="41" fontId="3" fillId="2" borderId="4" xfId="0" applyNumberFormat="1" applyFont="1" applyFill="1" applyBorder="1"/>
    <xf numFmtId="41" fontId="7" fillId="2" borderId="4" xfId="0" applyNumberFormat="1" applyFont="1" applyFill="1" applyBorder="1"/>
    <xf numFmtId="3" fontId="7" fillId="2" borderId="4" xfId="0" applyNumberFormat="1" applyFont="1" applyFill="1" applyBorder="1"/>
    <xf numFmtId="0" fontId="8" fillId="2" borderId="7" xfId="0" applyFont="1" applyFill="1" applyBorder="1"/>
    <xf numFmtId="41" fontId="0" fillId="2" borderId="0" xfId="0" applyNumberFormat="1" applyFill="1"/>
    <xf numFmtId="0" fontId="7" fillId="2" borderId="0" xfId="0" applyFont="1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3" fontId="0" fillId="2" borderId="0" xfId="0" applyNumberFormat="1" applyFill="1"/>
    <xf numFmtId="10" fontId="0" fillId="2" borderId="0" xfId="1" applyNumberFormat="1" applyFont="1" applyFill="1"/>
    <xf numFmtId="0" fontId="11" fillId="2" borderId="0" xfId="0" applyFont="1" applyFill="1"/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3" fillId="2" borderId="15" xfId="0" applyFont="1" applyFill="1" applyBorder="1"/>
    <xf numFmtId="0" fontId="4" fillId="2" borderId="16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left"/>
    </xf>
    <xf numFmtId="0" fontId="9" fillId="2" borderId="17" xfId="0" applyFont="1" applyFill="1" applyBorder="1"/>
    <xf numFmtId="0" fontId="6" fillId="2" borderId="17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/>
    </xf>
    <xf numFmtId="0" fontId="8" fillId="2" borderId="16" xfId="0" applyFont="1" applyFill="1" applyBorder="1"/>
    <xf numFmtId="0" fontId="6" fillId="2" borderId="17" xfId="0" applyFont="1" applyFill="1" applyBorder="1"/>
    <xf numFmtId="41" fontId="3" fillId="2" borderId="18" xfId="0" applyNumberFormat="1" applyFont="1" applyFill="1" applyBorder="1"/>
    <xf numFmtId="3" fontId="0" fillId="0" borderId="3" xfId="0" applyNumberFormat="1" applyBorder="1"/>
    <xf numFmtId="3" fontId="3" fillId="2" borderId="20" xfId="0" applyNumberFormat="1" applyFont="1" applyFill="1" applyBorder="1"/>
    <xf numFmtId="41" fontId="3" fillId="2" borderId="20" xfId="0" applyNumberFormat="1" applyFont="1" applyFill="1" applyBorder="1"/>
    <xf numFmtId="41" fontId="3" fillId="2" borderId="20" xfId="0" applyNumberFormat="1" applyFont="1" applyFill="1" applyBorder="1" applyAlignment="1"/>
    <xf numFmtId="3" fontId="3" fillId="2" borderId="19" xfId="0" applyNumberFormat="1" applyFont="1" applyFill="1" applyBorder="1"/>
    <xf numFmtId="0" fontId="5" fillId="2" borderId="21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41" fontId="3" fillId="2" borderId="11" xfId="0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1" fontId="3" fillId="2" borderId="18" xfId="0" applyNumberFormat="1" applyFont="1" applyFill="1" applyBorder="1" applyAlignment="1">
      <alignment horizontal="right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</xdr:row>
      <xdr:rowOff>161927</xdr:rowOff>
    </xdr:from>
    <xdr:to>
      <xdr:col>16</xdr:col>
      <xdr:colOff>19051</xdr:colOff>
      <xdr:row>4</xdr:row>
      <xdr:rowOff>9526</xdr:rowOff>
    </xdr:to>
    <xdr:sp macro="" textlink="">
      <xdr:nvSpPr>
        <xdr:cNvPr id="4" name="3 CuadroTexto"/>
        <xdr:cNvSpPr txBox="1"/>
      </xdr:nvSpPr>
      <xdr:spPr>
        <a:xfrm>
          <a:off x="9526" y="361952"/>
          <a:ext cx="1352550" cy="428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R" sz="700" b="1"/>
            <a:t>DIRECCION DE VENTAS,</a:t>
          </a:r>
          <a:r>
            <a:rPr lang="es-CR" sz="700" b="1" baseline="0"/>
            <a:t> </a:t>
          </a:r>
        </a:p>
        <a:p>
          <a:r>
            <a:rPr lang="es-CR" sz="700" b="1" baseline="0"/>
            <a:t>DEPARTAMENTO DE SERVICIO </a:t>
          </a:r>
        </a:p>
        <a:p>
          <a:r>
            <a:rPr lang="es-CR" sz="700" b="1" baseline="0"/>
            <a:t>AL CLIENTE</a:t>
          </a:r>
          <a:endParaRPr lang="es-CR" sz="700" b="1"/>
        </a:p>
      </xdr:txBody>
    </xdr:sp>
    <xdr:clientData/>
  </xdr:twoCellAnchor>
  <xdr:twoCellAnchor editAs="oneCell">
    <xdr:from>
      <xdr:col>0</xdr:col>
      <xdr:colOff>142875</xdr:colOff>
      <xdr:row>0</xdr:row>
      <xdr:rowOff>0</xdr:rowOff>
    </xdr:from>
    <xdr:to>
      <xdr:col>0</xdr:col>
      <xdr:colOff>1095375</xdr:colOff>
      <xdr:row>1</xdr:row>
      <xdr:rowOff>142875</xdr:rowOff>
    </xdr:to>
    <xdr:pic>
      <xdr:nvPicPr>
        <xdr:cNvPr id="5" name="4 Imagen" descr="https://ci5.googleusercontent.com/proxy/v2QQiPoqBzNYcVlEcM0AcYAMQDJCXddtgzBOc1poH2lZTBoE4itJx87NGzMSWGWk80so-lVlFbxrkgFjjIs1r_4aZx6j4fG491UjoVadTm_KOl8my1frJGFIOr8=s0-d-e1-ft#https://www.recope.go.cr/wp-content/uploads/2016/01/FIRMA_RECOPE10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0"/>
          <a:ext cx="952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ST-VENTAS%2098-99-revag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S\JJCC\COESDEH-ene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ST%20VTAS%20MENS.%20NAC%20Y%20EXP%20VOL-%20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M3"/>
      <sheetName val="HISTBBLS"/>
      <sheetName val="indices"/>
      <sheetName val="MES98_01"/>
      <sheetName val="MES98T_01"/>
      <sheetName val="MES99_01"/>
      <sheetName val="MES99T_01"/>
      <sheetName val="ANUAL9899_01"/>
    </sheetNames>
    <sheetDataSet>
      <sheetData sheetId="0" refreshError="1">
        <row r="6">
          <cell r="B6">
            <v>812649</v>
          </cell>
          <cell r="C6">
            <v>893197</v>
          </cell>
          <cell r="D6">
            <v>939948</v>
          </cell>
          <cell r="E6">
            <v>997260</v>
          </cell>
          <cell r="F6">
            <v>1079872</v>
          </cell>
        </row>
        <row r="7">
          <cell r="B7">
            <v>809116</v>
          </cell>
          <cell r="C7">
            <v>864666</v>
          </cell>
          <cell r="D7">
            <v>898341</v>
          </cell>
          <cell r="E7">
            <v>988590</v>
          </cell>
          <cell r="F7">
            <v>1048152</v>
          </cell>
        </row>
        <row r="9">
          <cell r="B9">
            <v>196800</v>
          </cell>
          <cell r="C9">
            <v>224141</v>
          </cell>
          <cell r="D9">
            <v>241218</v>
          </cell>
          <cell r="E9">
            <v>268962</v>
          </cell>
          <cell r="F9">
            <v>293541</v>
          </cell>
          <cell r="G9">
            <v>305536</v>
          </cell>
          <cell r="H9">
            <v>367262</v>
          </cell>
          <cell r="I9">
            <v>439563</v>
          </cell>
          <cell r="J9">
            <v>523006</v>
          </cell>
        </row>
        <row r="10">
          <cell r="B10">
            <v>196800</v>
          </cell>
          <cell r="C10">
            <v>224141</v>
          </cell>
          <cell r="D10">
            <v>241218</v>
          </cell>
          <cell r="E10">
            <v>263797</v>
          </cell>
          <cell r="F10">
            <v>256170</v>
          </cell>
          <cell r="G10">
            <v>280900</v>
          </cell>
          <cell r="H10">
            <v>324055</v>
          </cell>
          <cell r="I10">
            <v>343666</v>
          </cell>
          <cell r="J10">
            <v>348380</v>
          </cell>
        </row>
        <row r="11">
          <cell r="B11">
            <v>364905</v>
          </cell>
          <cell r="C11">
            <v>381478</v>
          </cell>
          <cell r="D11">
            <v>401251</v>
          </cell>
          <cell r="E11">
            <v>433547</v>
          </cell>
          <cell r="F11">
            <v>449590</v>
          </cell>
          <cell r="G11">
            <v>465136</v>
          </cell>
          <cell r="H11">
            <v>499176</v>
          </cell>
          <cell r="I11">
            <v>530222</v>
          </cell>
          <cell r="J11">
            <v>566083</v>
          </cell>
          <cell r="K11">
            <v>579351</v>
          </cell>
          <cell r="L11">
            <v>599237</v>
          </cell>
        </row>
        <row r="12">
          <cell r="B12">
            <v>16469</v>
          </cell>
          <cell r="C12">
            <v>16294</v>
          </cell>
          <cell r="D12">
            <v>13098</v>
          </cell>
          <cell r="E12">
            <v>10565</v>
          </cell>
          <cell r="F12">
            <v>10579</v>
          </cell>
          <cell r="G12">
            <v>10892</v>
          </cell>
          <cell r="H12">
            <v>10081</v>
          </cell>
          <cell r="I12">
            <v>10314</v>
          </cell>
          <cell r="J12">
            <v>9866</v>
          </cell>
          <cell r="K12">
            <v>9367</v>
          </cell>
          <cell r="L12">
            <v>9080</v>
          </cell>
        </row>
        <row r="13">
          <cell r="B13">
            <v>134161</v>
          </cell>
          <cell r="C13">
            <v>145946</v>
          </cell>
          <cell r="D13">
            <v>142194</v>
          </cell>
          <cell r="E13">
            <v>157662</v>
          </cell>
          <cell r="F13">
            <v>167519</v>
          </cell>
          <cell r="G13">
            <v>159232</v>
          </cell>
          <cell r="H13">
            <v>175588</v>
          </cell>
          <cell r="I13">
            <v>189715</v>
          </cell>
          <cell r="J13">
            <v>183112</v>
          </cell>
          <cell r="K13">
            <v>187743</v>
          </cell>
          <cell r="L13">
            <v>174940</v>
          </cell>
        </row>
        <row r="14">
          <cell r="B14">
            <v>29867</v>
          </cell>
          <cell r="C14">
            <v>31703</v>
          </cell>
          <cell r="D14">
            <v>34954</v>
          </cell>
          <cell r="E14">
            <v>42409</v>
          </cell>
          <cell r="F14">
            <v>46600</v>
          </cell>
          <cell r="G14">
            <v>46658</v>
          </cell>
          <cell r="H14">
            <v>50349</v>
          </cell>
          <cell r="I14">
            <v>53669</v>
          </cell>
          <cell r="J14">
            <v>62845</v>
          </cell>
          <cell r="K14">
            <v>72860</v>
          </cell>
          <cell r="L14">
            <v>83270</v>
          </cell>
        </row>
        <row r="15">
          <cell r="B15">
            <v>1066</v>
          </cell>
          <cell r="C15">
            <v>1313</v>
          </cell>
          <cell r="D15">
            <v>1134</v>
          </cell>
          <cell r="E15">
            <v>1474</v>
          </cell>
          <cell r="F15">
            <v>1221</v>
          </cell>
          <cell r="G15">
            <v>258</v>
          </cell>
          <cell r="H15">
            <v>232</v>
          </cell>
          <cell r="I15">
            <v>19</v>
          </cell>
          <cell r="J15">
            <v>45</v>
          </cell>
          <cell r="K15">
            <v>936</v>
          </cell>
          <cell r="L15">
            <v>1590</v>
          </cell>
        </row>
        <row r="16">
          <cell r="B16">
            <v>16862</v>
          </cell>
          <cell r="C16">
            <v>10026</v>
          </cell>
          <cell r="D16">
            <v>8078</v>
          </cell>
          <cell r="E16">
            <v>10603</v>
          </cell>
          <cell r="F16">
            <v>10451</v>
          </cell>
          <cell r="G16">
            <v>13076</v>
          </cell>
          <cell r="H16">
            <v>12552</v>
          </cell>
          <cell r="I16">
            <v>16860</v>
          </cell>
          <cell r="J16">
            <v>22424</v>
          </cell>
          <cell r="K16">
            <v>24001</v>
          </cell>
          <cell r="L16">
            <v>18247</v>
          </cell>
        </row>
        <row r="17">
          <cell r="B17">
            <v>13608</v>
          </cell>
          <cell r="C17">
            <v>10985</v>
          </cell>
          <cell r="D17">
            <v>7690</v>
          </cell>
          <cell r="E17">
            <v>8684</v>
          </cell>
          <cell r="F17">
            <v>7541</v>
          </cell>
          <cell r="G17">
            <v>5573</v>
          </cell>
          <cell r="H17">
            <v>7072</v>
          </cell>
          <cell r="I17">
            <v>7533</v>
          </cell>
          <cell r="J17">
            <v>10781</v>
          </cell>
          <cell r="K17">
            <v>7758</v>
          </cell>
          <cell r="L17">
            <v>5566</v>
          </cell>
        </row>
        <row r="18">
          <cell r="B18">
            <v>16874</v>
          </cell>
          <cell r="C18">
            <v>16774</v>
          </cell>
          <cell r="D18">
            <v>18204</v>
          </cell>
          <cell r="E18">
            <v>17581</v>
          </cell>
          <cell r="F18">
            <v>17446</v>
          </cell>
          <cell r="G18">
            <v>11894</v>
          </cell>
          <cell r="H18">
            <v>17079</v>
          </cell>
          <cell r="I18">
            <v>12460</v>
          </cell>
          <cell r="J18">
            <v>10740</v>
          </cell>
          <cell r="K18">
            <v>11520</v>
          </cell>
          <cell r="L18">
            <v>10177</v>
          </cell>
        </row>
        <row r="19">
          <cell r="B19">
            <v>8993</v>
          </cell>
          <cell r="C19">
            <v>17074</v>
          </cell>
          <cell r="D19">
            <v>20595</v>
          </cell>
          <cell r="E19">
            <v>24091</v>
          </cell>
          <cell r="F19">
            <v>29872</v>
          </cell>
          <cell r="G19">
            <v>39817</v>
          </cell>
          <cell r="H19">
            <v>56500</v>
          </cell>
          <cell r="I19">
            <v>78387</v>
          </cell>
          <cell r="J19">
            <v>81424</v>
          </cell>
          <cell r="K19">
            <v>87104</v>
          </cell>
          <cell r="L19">
            <v>82406</v>
          </cell>
        </row>
        <row r="20">
          <cell r="B20">
            <v>4149</v>
          </cell>
          <cell r="C20">
            <v>3885</v>
          </cell>
          <cell r="D20">
            <v>3573</v>
          </cell>
          <cell r="E20">
            <v>3802</v>
          </cell>
          <cell r="F20">
            <v>3652</v>
          </cell>
          <cell r="G20">
            <v>4350</v>
          </cell>
          <cell r="H20">
            <v>5031</v>
          </cell>
          <cell r="I20">
            <v>5865</v>
          </cell>
          <cell r="J20">
            <v>5942</v>
          </cell>
          <cell r="K20">
            <v>5519</v>
          </cell>
          <cell r="L20">
            <v>5154</v>
          </cell>
        </row>
        <row r="21">
          <cell r="B21">
            <v>985</v>
          </cell>
          <cell r="C21">
            <v>598</v>
          </cell>
          <cell r="D21">
            <v>331</v>
          </cell>
          <cell r="E21">
            <v>732</v>
          </cell>
          <cell r="F21">
            <v>591</v>
          </cell>
          <cell r="G21">
            <v>574</v>
          </cell>
          <cell r="H21">
            <v>595</v>
          </cell>
          <cell r="I21">
            <v>401</v>
          </cell>
          <cell r="J21">
            <v>246</v>
          </cell>
        </row>
        <row r="22">
          <cell r="B22">
            <v>4244</v>
          </cell>
          <cell r="C22">
            <v>4449</v>
          </cell>
          <cell r="D22">
            <v>6021</v>
          </cell>
          <cell r="E22">
            <v>8478</v>
          </cell>
          <cell r="F22">
            <v>9549</v>
          </cell>
          <cell r="G22">
            <v>9495</v>
          </cell>
          <cell r="H22">
            <v>7880</v>
          </cell>
          <cell r="I22">
            <v>7673</v>
          </cell>
          <cell r="J22">
            <v>6769</v>
          </cell>
          <cell r="K22">
            <v>5929</v>
          </cell>
          <cell r="L22">
            <v>2797</v>
          </cell>
        </row>
        <row r="23">
          <cell r="B23">
            <v>133</v>
          </cell>
        </row>
        <row r="24">
          <cell r="E24">
            <v>5165</v>
          </cell>
          <cell r="F24">
            <v>37371</v>
          </cell>
          <cell r="G24">
            <v>24636</v>
          </cell>
          <cell r="H24">
            <v>43207</v>
          </cell>
          <cell r="I24">
            <v>95897</v>
          </cell>
          <cell r="J24">
            <v>174626</v>
          </cell>
          <cell r="K24">
            <v>230197</v>
          </cell>
          <cell r="L24">
            <v>267565</v>
          </cell>
        </row>
        <row r="26">
          <cell r="B26">
            <v>3533</v>
          </cell>
          <cell r="C26">
            <v>28531</v>
          </cell>
          <cell r="D26">
            <v>41607</v>
          </cell>
          <cell r="E26">
            <v>8670</v>
          </cell>
          <cell r="F26">
            <v>31720</v>
          </cell>
          <cell r="G26">
            <v>53839</v>
          </cell>
          <cell r="H26">
            <v>207994</v>
          </cell>
          <cell r="I26">
            <v>151899</v>
          </cell>
          <cell r="J26">
            <v>305953</v>
          </cell>
          <cell r="K26">
            <v>261036</v>
          </cell>
          <cell r="L26">
            <v>167214</v>
          </cell>
        </row>
        <row r="27">
          <cell r="B27">
            <v>3533</v>
          </cell>
          <cell r="C27">
            <v>9823</v>
          </cell>
          <cell r="D27">
            <v>23567</v>
          </cell>
          <cell r="E27">
            <v>7927</v>
          </cell>
          <cell r="F27">
            <v>27945</v>
          </cell>
          <cell r="G27">
            <v>34212</v>
          </cell>
          <cell r="H27">
            <v>176885</v>
          </cell>
          <cell r="I27">
            <v>131750</v>
          </cell>
          <cell r="J27">
            <v>269104</v>
          </cell>
          <cell r="K27">
            <v>229146</v>
          </cell>
          <cell r="L27">
            <v>141707</v>
          </cell>
        </row>
        <row r="28">
          <cell r="C28">
            <v>16760</v>
          </cell>
          <cell r="D28">
            <v>16725</v>
          </cell>
          <cell r="E28">
            <v>724</v>
          </cell>
          <cell r="F28">
            <v>3708</v>
          </cell>
          <cell r="G28">
            <v>19627</v>
          </cell>
          <cell r="H28">
            <v>31109</v>
          </cell>
          <cell r="I28">
            <v>20149</v>
          </cell>
          <cell r="J28">
            <v>36849</v>
          </cell>
          <cell r="K28">
            <v>31890</v>
          </cell>
          <cell r="L28">
            <v>25507</v>
          </cell>
        </row>
        <row r="29">
          <cell r="C29">
            <v>1948</v>
          </cell>
          <cell r="D29">
            <v>1315</v>
          </cell>
          <cell r="E29">
            <v>19</v>
          </cell>
          <cell r="F29">
            <v>67</v>
          </cell>
        </row>
        <row r="31">
          <cell r="B31">
            <v>127011</v>
          </cell>
          <cell r="C31">
            <v>96790</v>
          </cell>
          <cell r="D31">
            <v>111888</v>
          </cell>
          <cell r="E31">
            <v>160125</v>
          </cell>
          <cell r="F31">
            <v>107339</v>
          </cell>
          <cell r="G31">
            <v>77389</v>
          </cell>
          <cell r="H31">
            <v>114305</v>
          </cell>
          <cell r="I31">
            <v>132573</v>
          </cell>
          <cell r="J31">
            <v>93506</v>
          </cell>
          <cell r="K31">
            <v>180337</v>
          </cell>
          <cell r="L31">
            <v>173743</v>
          </cell>
        </row>
        <row r="32">
          <cell r="E32">
            <v>19</v>
          </cell>
          <cell r="F32">
            <v>31</v>
          </cell>
          <cell r="G32">
            <v>4</v>
          </cell>
          <cell r="K32">
            <v>4</v>
          </cell>
        </row>
        <row r="33">
          <cell r="E33">
            <v>2185</v>
          </cell>
          <cell r="F33">
            <v>4473</v>
          </cell>
          <cell r="G33">
            <v>5833</v>
          </cell>
          <cell r="H33">
            <v>23399</v>
          </cell>
          <cell r="I33">
            <v>15599</v>
          </cell>
          <cell r="J33">
            <v>16408</v>
          </cell>
          <cell r="K33">
            <v>13029</v>
          </cell>
          <cell r="L33">
            <v>15916</v>
          </cell>
        </row>
        <row r="34">
          <cell r="B34">
            <v>57588</v>
          </cell>
          <cell r="C34">
            <v>23852</v>
          </cell>
          <cell r="D34">
            <v>62268</v>
          </cell>
          <cell r="E34">
            <v>65635</v>
          </cell>
          <cell r="G34">
            <v>23180</v>
          </cell>
          <cell r="K34">
            <v>15682</v>
          </cell>
        </row>
        <row r="35">
          <cell r="B35">
            <v>81</v>
          </cell>
          <cell r="C35">
            <v>3336</v>
          </cell>
          <cell r="D35">
            <v>4340</v>
          </cell>
          <cell r="E35">
            <v>2295</v>
          </cell>
          <cell r="F35">
            <v>5458</v>
          </cell>
          <cell r="G35">
            <v>8478</v>
          </cell>
          <cell r="H35">
            <v>17569</v>
          </cell>
          <cell r="I35">
            <v>18105</v>
          </cell>
          <cell r="J35">
            <v>21449</v>
          </cell>
          <cell r="K35">
            <v>21712</v>
          </cell>
          <cell r="L35">
            <v>20260</v>
          </cell>
        </row>
        <row r="36">
          <cell r="E36">
            <v>5529</v>
          </cell>
          <cell r="F36">
            <v>5550</v>
          </cell>
        </row>
        <row r="37">
          <cell r="E37">
            <v>42</v>
          </cell>
          <cell r="F37">
            <v>55</v>
          </cell>
          <cell r="G37">
            <v>111</v>
          </cell>
          <cell r="H37">
            <v>739</v>
          </cell>
          <cell r="I37">
            <v>212</v>
          </cell>
          <cell r="J37">
            <v>37</v>
          </cell>
          <cell r="K37">
            <v>227</v>
          </cell>
          <cell r="L37">
            <v>201</v>
          </cell>
        </row>
        <row r="38">
          <cell r="K38">
            <v>19</v>
          </cell>
          <cell r="L38">
            <v>132</v>
          </cell>
        </row>
        <row r="39">
          <cell r="E39">
            <v>91</v>
          </cell>
          <cell r="F39">
            <v>68</v>
          </cell>
        </row>
        <row r="40">
          <cell r="B40">
            <v>47085</v>
          </cell>
          <cell r="C40">
            <v>32459</v>
          </cell>
          <cell r="D40">
            <v>22946</v>
          </cell>
          <cell r="E40">
            <v>29727</v>
          </cell>
          <cell r="F40">
            <v>38024</v>
          </cell>
          <cell r="G40">
            <v>9396</v>
          </cell>
          <cell r="H40">
            <v>10324</v>
          </cell>
          <cell r="I40">
            <v>7201</v>
          </cell>
          <cell r="J40">
            <v>4268</v>
          </cell>
          <cell r="K40">
            <v>6225</v>
          </cell>
          <cell r="L40">
            <v>1520</v>
          </cell>
        </row>
        <row r="41">
          <cell r="B41">
            <v>20274</v>
          </cell>
          <cell r="C41">
            <v>31341</v>
          </cell>
          <cell r="D41">
            <v>18324</v>
          </cell>
          <cell r="E41">
            <v>46855</v>
          </cell>
          <cell r="F41">
            <v>45207</v>
          </cell>
          <cell r="G41">
            <v>28961</v>
          </cell>
          <cell r="H41">
            <v>61956</v>
          </cell>
          <cell r="I41">
            <v>91398</v>
          </cell>
          <cell r="J41">
            <v>51322</v>
          </cell>
          <cell r="K41">
            <v>123347</v>
          </cell>
          <cell r="L41">
            <v>135614</v>
          </cell>
        </row>
        <row r="42">
          <cell r="B42">
            <v>1983</v>
          </cell>
          <cell r="C42">
            <v>5802</v>
          </cell>
          <cell r="D42">
            <v>4010</v>
          </cell>
          <cell r="E42">
            <v>7747</v>
          </cell>
          <cell r="F42">
            <v>8246</v>
          </cell>
          <cell r="G42">
            <v>734</v>
          </cell>
        </row>
        <row r="43">
          <cell r="F43">
            <v>227</v>
          </cell>
          <cell r="G43">
            <v>8</v>
          </cell>
          <cell r="H43">
            <v>81</v>
          </cell>
          <cell r="I43">
            <v>58</v>
          </cell>
          <cell r="J43">
            <v>22</v>
          </cell>
          <cell r="K43">
            <v>92</v>
          </cell>
          <cell r="L43">
            <v>100</v>
          </cell>
          <cell r="N43">
            <v>75</v>
          </cell>
        </row>
        <row r="44">
          <cell r="G44">
            <v>684</v>
          </cell>
          <cell r="H44">
            <v>237</v>
          </cell>
        </row>
        <row r="45">
          <cell r="B45">
            <v>939660</v>
          </cell>
          <cell r="C45">
            <v>989987</v>
          </cell>
          <cell r="D45">
            <v>1051836</v>
          </cell>
          <cell r="E45">
            <v>1157385</v>
          </cell>
          <cell r="F45">
            <v>1187211</v>
          </cell>
          <cell r="G45">
            <v>1203719</v>
          </cell>
          <cell r="H45">
            <v>1531696</v>
          </cell>
          <cell r="I45">
            <v>1637153</v>
          </cell>
          <cell r="J45">
            <v>1882742</v>
          </cell>
          <cell r="K45">
            <v>2003799</v>
          </cell>
          <cell r="L45">
            <v>1923700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3COESDE"/>
      <sheetName val="BBLS-89-99"/>
      <sheetName val="Hoja1"/>
      <sheetName val="M389-98TC4"/>
      <sheetName val="TASA CAMBIO 4"/>
      <sheetName val="indices"/>
      <sheetName val="Hoja3"/>
      <sheetName val="ANALISIS-TRIM"/>
      <sheetName val="MACHOTE MENSl99"/>
      <sheetName val="MENSUAL99"/>
      <sheetName val="estcoestotal"/>
      <sheetName val="estcoesde"/>
      <sheetName val="TASA CAMBIO 8"/>
    </sheetNames>
    <sheetDataSet>
      <sheetData sheetId="0" refreshError="1">
        <row r="13">
          <cell r="N13">
            <v>206190</v>
          </cell>
        </row>
        <row r="18">
          <cell r="N18">
            <v>7071</v>
          </cell>
          <cell r="O18">
            <v>7991</v>
          </cell>
        </row>
        <row r="19">
          <cell r="N19">
            <v>109710</v>
          </cell>
          <cell r="O19">
            <v>108741</v>
          </cell>
        </row>
        <row r="20">
          <cell r="N20">
            <v>4689</v>
          </cell>
        </row>
        <row r="26">
          <cell r="N26">
            <v>142524</v>
          </cell>
        </row>
        <row r="32">
          <cell r="N32">
            <v>17</v>
          </cell>
        </row>
        <row r="33">
          <cell r="N33">
            <v>12374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ExRepositorySheet"/>
      <sheetName val="Table"/>
      <sheetName val="Table2"/>
      <sheetName val="Table3"/>
      <sheetName val="VTAS MENS NAC-EXPOR LTRS"/>
      <sheetName val="VTAS MENS NAC-EXPOR M3"/>
      <sheetName val="VTAS MENS NAC-EXPOR BB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8">
          <cell r="O38">
            <v>262946.22698711214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7"/>
  <sheetViews>
    <sheetView tabSelected="1" workbookViewId="0">
      <selection activeCell="A6" sqref="A6"/>
    </sheetView>
  </sheetViews>
  <sheetFormatPr baseColWidth="10" defaultRowHeight="15"/>
  <cols>
    <col min="1" max="1" width="19.85546875" customWidth="1"/>
    <col min="2" max="19" width="0" hidden="1" customWidth="1"/>
    <col min="20" max="20" width="0.28515625" customWidth="1"/>
    <col min="21" max="21" width="13.140625" hidden="1" customWidth="1"/>
    <col min="27" max="27" width="12" customWidth="1"/>
    <col min="30" max="30" width="12.140625" customWidth="1"/>
    <col min="32" max="32" width="12.85546875" customWidth="1"/>
  </cols>
  <sheetData>
    <row r="1" spans="1:32" ht="15.7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1:3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</row>
    <row r="3" spans="1:32">
      <c r="A3" s="68" t="s">
        <v>39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</row>
    <row r="4" spans="1:32" ht="15.75" thickBot="1">
      <c r="A4" s="68" t="s">
        <v>29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</row>
    <row r="5" spans="1:32" ht="15.75" thickBo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AE5" s="65" t="s">
        <v>30</v>
      </c>
      <c r="AF5" s="66"/>
    </row>
    <row r="6" spans="1:32" ht="15.75" thickBot="1">
      <c r="A6" s="45" t="s">
        <v>2</v>
      </c>
      <c r="B6" s="42">
        <v>1986</v>
      </c>
      <c r="C6" s="42">
        <v>1987</v>
      </c>
      <c r="D6" s="42">
        <v>1988</v>
      </c>
      <c r="E6" s="42">
        <v>1989</v>
      </c>
      <c r="F6" s="42">
        <v>1990</v>
      </c>
      <c r="G6" s="42">
        <v>1991</v>
      </c>
      <c r="H6" s="44">
        <v>1992</v>
      </c>
      <c r="I6" s="42">
        <v>1993</v>
      </c>
      <c r="J6" s="42">
        <v>1994</v>
      </c>
      <c r="K6" s="42">
        <v>1995</v>
      </c>
      <c r="L6" s="42">
        <v>1996</v>
      </c>
      <c r="M6" s="42">
        <v>1997</v>
      </c>
      <c r="N6" s="42">
        <v>1998</v>
      </c>
      <c r="O6" s="42">
        <v>1999</v>
      </c>
      <c r="P6" s="42">
        <v>2000</v>
      </c>
      <c r="Q6" s="42">
        <v>2001</v>
      </c>
      <c r="R6" s="42">
        <v>2002</v>
      </c>
      <c r="S6" s="43">
        <v>2003</v>
      </c>
      <c r="T6" s="43">
        <v>2004</v>
      </c>
      <c r="U6" s="60">
        <v>2005</v>
      </c>
      <c r="V6" s="61">
        <v>2006</v>
      </c>
      <c r="W6" s="61">
        <v>2007</v>
      </c>
      <c r="X6" s="61">
        <v>2008</v>
      </c>
      <c r="Y6" s="62">
        <v>2009</v>
      </c>
      <c r="Z6" s="61">
        <v>2010</v>
      </c>
      <c r="AA6" s="61">
        <v>2011</v>
      </c>
      <c r="AB6" s="62">
        <v>2012</v>
      </c>
      <c r="AC6" s="61">
        <v>2013</v>
      </c>
      <c r="AD6" s="62">
        <v>2014</v>
      </c>
      <c r="AE6" s="63">
        <v>2015</v>
      </c>
      <c r="AF6" s="63">
        <v>2016</v>
      </c>
    </row>
    <row r="7" spans="1:32" ht="16.5">
      <c r="A7" s="46" t="s">
        <v>3</v>
      </c>
      <c r="B7" s="23">
        <f>+IF([1]HISTM3!B6=0,"--",[1]HISTM3!B6*1000/158.97)</f>
        <v>5111964.5216078507</v>
      </c>
      <c r="C7" s="23">
        <f>+IF([1]HISTM3!C6=0,"--",[1]HISTM3!C6*1000/158.97)</f>
        <v>5618651.3178587155</v>
      </c>
      <c r="D7" s="23">
        <f>+IF([1]HISTM3!D6=0,"--",[1]HISTM3!D6*1000/158.97)</f>
        <v>5912738.2525004717</v>
      </c>
      <c r="E7" s="23">
        <f>+IF([1]HISTM3!E6=0,"--",[1]HISTM3!E6*1000/158.97)</f>
        <v>6273259.1054916019</v>
      </c>
      <c r="F7" s="23">
        <f>+IF([1]HISTM3!F6=0,"--",[1]HISTM3!F6*1000/158.97)</f>
        <v>6792929.4835503558</v>
      </c>
      <c r="G7" s="23">
        <f t="shared" ref="G7:N7" si="0">+SUM(G10:G29)-G21</f>
        <v>7085173.3031389583</v>
      </c>
      <c r="H7" s="24">
        <f t="shared" si="0"/>
        <v>8916091.0863685012</v>
      </c>
      <c r="I7" s="23">
        <f t="shared" si="0"/>
        <v>9464553.0603258498</v>
      </c>
      <c r="J7" s="23">
        <f t="shared" si="0"/>
        <v>11255180.222683525</v>
      </c>
      <c r="K7" s="23">
        <f t="shared" si="0"/>
        <v>11470478.706674213</v>
      </c>
      <c r="L7" s="23">
        <f t="shared" si="0"/>
        <v>11008095.867144745</v>
      </c>
      <c r="M7" s="23">
        <f t="shared" si="0"/>
        <v>10909109</v>
      </c>
      <c r="N7" s="23">
        <f t="shared" si="0"/>
        <v>12510656.766119391</v>
      </c>
      <c r="O7" s="23">
        <f>+SUM(O10:O29)-O21+8</f>
        <v>12956516.069572875</v>
      </c>
      <c r="P7" s="23">
        <f>+SUM(P10:P29)-P21+8</f>
        <v>12882492</v>
      </c>
      <c r="Q7" s="23">
        <f>+SUM(Q10:Q29)-Q21+7</f>
        <v>13028785</v>
      </c>
      <c r="R7" s="23">
        <v>13441859</v>
      </c>
      <c r="S7" s="25">
        <v>14552209</v>
      </c>
      <c r="T7" s="23">
        <v>15314073</v>
      </c>
      <c r="U7" s="56">
        <v>15155460</v>
      </c>
      <c r="V7" s="56">
        <v>16344752</v>
      </c>
      <c r="W7" s="57">
        <v>17656065</v>
      </c>
      <c r="X7" s="58">
        <v>17672767</v>
      </c>
      <c r="Y7" s="58">
        <v>17061720</v>
      </c>
      <c r="Z7" s="56">
        <v>17904322</v>
      </c>
      <c r="AA7" s="56">
        <v>18545912</v>
      </c>
      <c r="AB7" s="56">
        <v>18249766</v>
      </c>
      <c r="AC7" s="56">
        <v>19016649</v>
      </c>
      <c r="AD7" s="59">
        <v>19420578</v>
      </c>
      <c r="AE7" s="59">
        <v>19019671.335983444</v>
      </c>
      <c r="AF7" s="59">
        <v>20524143.953983665</v>
      </c>
    </row>
    <row r="8" spans="1:32">
      <c r="A8" s="47" t="s">
        <v>4</v>
      </c>
      <c r="B8" s="18">
        <f>+IF([1]HISTM3!B7=0,"--",[1]HISTM3!B7*1000/158.97)</f>
        <v>5089740.2025539409</v>
      </c>
      <c r="C8" s="18">
        <f>+IF([1]HISTM3!C7=0,"--",[1]HISTM3!C7*1000/158.97)</f>
        <v>5439177.2032458959</v>
      </c>
      <c r="D8" s="18">
        <f>+IF([1]HISTM3!D7=0,"--",[1]HISTM3!D7*1000/158.97)</f>
        <v>5651009.624457445</v>
      </c>
      <c r="E8" s="18">
        <f>+IF([1]HISTM3!E7=0,"--",[1]HISTM3!E7*1000/158.97)</f>
        <v>6218720.5133043975</v>
      </c>
      <c r="F8" s="18">
        <f>+IF([1]HISTM3!F7=0,"--",[1]HISTM3!F7*1000/158.97)</f>
        <v>6593394.9801849406</v>
      </c>
      <c r="G8" s="18">
        <f t="shared" ref="G8:N8" si="1">+SUM(G10:G28)-G21</f>
        <v>6746499.3394980188</v>
      </c>
      <c r="H8" s="26">
        <f t="shared" si="1"/>
        <v>7607705.8564509051</v>
      </c>
      <c r="I8" s="18">
        <f t="shared" si="1"/>
        <v>8509033.1509089787</v>
      </c>
      <c r="J8" s="18">
        <f t="shared" si="1"/>
        <v>9330584.386991255</v>
      </c>
      <c r="K8" s="18">
        <f t="shared" si="1"/>
        <v>9828433.0376800634</v>
      </c>
      <c r="L8" s="18">
        <f t="shared" si="1"/>
        <v>9956237.0258539356</v>
      </c>
      <c r="M8" s="18">
        <f t="shared" si="1"/>
        <v>10522586</v>
      </c>
      <c r="N8" s="18">
        <f t="shared" si="1"/>
        <v>11614110.24790841</v>
      </c>
      <c r="O8" s="18">
        <f>+SUM(O10:O28)-O21+7</f>
        <v>12576840.069572875</v>
      </c>
      <c r="P8" s="18">
        <f>+SUM(P10:P28)-P21+7</f>
        <v>12804110</v>
      </c>
      <c r="Q8" s="18">
        <f>+SUM(Q10:Q28)-Q21+6</f>
        <v>12738243</v>
      </c>
      <c r="R8" s="18">
        <v>13259052</v>
      </c>
      <c r="S8" s="27">
        <f>+S7-S29</f>
        <v>14227927</v>
      </c>
      <c r="T8" s="28">
        <v>15056384</v>
      </c>
      <c r="U8" s="9">
        <v>14646916</v>
      </c>
      <c r="V8" s="9">
        <v>15264523</v>
      </c>
      <c r="W8" s="29">
        <v>16301677</v>
      </c>
      <c r="X8" s="29">
        <v>16389684</v>
      </c>
      <c r="Y8" s="29">
        <v>16208153</v>
      </c>
      <c r="Z8" s="9">
        <v>16455963</v>
      </c>
      <c r="AA8" s="9">
        <v>16959992</v>
      </c>
      <c r="AB8" s="9">
        <v>17294808</v>
      </c>
      <c r="AC8" s="9">
        <v>17285357</v>
      </c>
      <c r="AD8" s="10">
        <v>17662094</v>
      </c>
      <c r="AE8" s="55">
        <v>18922316.678055439</v>
      </c>
      <c r="AF8" s="55">
        <v>20261197.726996548</v>
      </c>
    </row>
    <row r="9" spans="1:32">
      <c r="A9" s="48" t="s">
        <v>5</v>
      </c>
      <c r="B9" s="20">
        <f>+IF([1]HISTM3!B9=0,"--",[1]HISTM3!B9*1000/158.97)</f>
        <v>1237969.428193999</v>
      </c>
      <c r="C9" s="20">
        <f>+IF([1]HISTM3!C9=0,"--",[1]HISTM3!C9*1000/158.97)</f>
        <v>1409957.8536830849</v>
      </c>
      <c r="D9" s="20">
        <f>+IF([1]HISTM3!D9=0,"--",[1]HISTM3!D9*1000/158.97)</f>
        <v>1517380.6378561994</v>
      </c>
      <c r="E9" s="20">
        <f>+IF([1]HISTM3!E9=0,"--",[1]HISTM3!E9*1000/158.97)</f>
        <v>1691904.1328552556</v>
      </c>
      <c r="F9" s="20">
        <f>+IF([1]HISTM3!F9=0,"--",[1]HISTM3!F9*1000/158.97)</f>
        <v>1846518.2109832044</v>
      </c>
      <c r="G9" s="20">
        <f>+IF([1]HISTM3!G9=0,"--",[1]HISTM3!G9*1000/158.97)</f>
        <v>1921972.699251431</v>
      </c>
      <c r="H9" s="3">
        <f>+IF([1]HISTM3!H9=0,"--",[1]HISTM3!H9*1000/158.97)</f>
        <v>2310259.7974460591</v>
      </c>
      <c r="I9" s="20">
        <f>+IF([1]HISTM3!I9=0,"--",[1]HISTM3!I9*1000/158.97)</f>
        <v>2765068.8809209284</v>
      </c>
      <c r="J9" s="20">
        <f>+IF([1]HISTM3!J9=0,"--",[1]HISTM3!J9*1000/158.97)</f>
        <v>3289966.6603761716</v>
      </c>
      <c r="K9" s="20">
        <v>3587708.3726489274</v>
      </c>
      <c r="L9" s="20">
        <v>3713147.1346794991</v>
      </c>
      <c r="M9" s="20">
        <v>3807298</v>
      </c>
      <c r="N9" s="20">
        <v>4276567.6359061459</v>
      </c>
      <c r="O9" s="20">
        <v>4626453</v>
      </c>
      <c r="P9" s="20">
        <f t="shared" ref="P9:AD9" si="2">+P10+P28</f>
        <v>4701191</v>
      </c>
      <c r="Q9" s="20">
        <f t="shared" si="2"/>
        <v>4954058</v>
      </c>
      <c r="R9" s="20">
        <f t="shared" si="2"/>
        <v>5285618</v>
      </c>
      <c r="S9" s="31">
        <f t="shared" si="2"/>
        <v>5276425</v>
      </c>
      <c r="T9" s="17">
        <f t="shared" si="2"/>
        <v>5354396</v>
      </c>
      <c r="U9" s="19">
        <f t="shared" si="2"/>
        <v>5242999</v>
      </c>
      <c r="V9" s="19">
        <f t="shared" si="2"/>
        <v>5268269</v>
      </c>
      <c r="W9" s="19">
        <v>5523158</v>
      </c>
      <c r="X9" s="19">
        <f t="shared" si="2"/>
        <v>5652598</v>
      </c>
      <c r="Y9" s="19">
        <f t="shared" si="2"/>
        <v>5870221</v>
      </c>
      <c r="Z9" s="19">
        <f t="shared" si="2"/>
        <v>6039257</v>
      </c>
      <c r="AA9" s="19">
        <f t="shared" si="2"/>
        <v>6239825</v>
      </c>
      <c r="AB9" s="19">
        <f t="shared" si="2"/>
        <v>6485595</v>
      </c>
      <c r="AC9" s="19">
        <f t="shared" si="2"/>
        <v>6599529</v>
      </c>
      <c r="AD9" s="17">
        <f t="shared" si="2"/>
        <v>6758893</v>
      </c>
      <c r="AE9" s="17">
        <v>7320261.5710718501</v>
      </c>
      <c r="AF9" s="17">
        <f>+AF10+AF28</f>
        <v>7904236.3174347607</v>
      </c>
    </row>
    <row r="10" spans="1:32">
      <c r="A10" s="49" t="s">
        <v>6</v>
      </c>
      <c r="B10" s="15">
        <f>+IF([1]HISTM3!B10=0,"--",[1]HISTM3!B10*1000/158.97)</f>
        <v>1237969.428193999</v>
      </c>
      <c r="C10" s="15">
        <f>+IF([1]HISTM3!C10=0,"--",[1]HISTM3!C10*1000/158.97)</f>
        <v>1409957.8536830849</v>
      </c>
      <c r="D10" s="15">
        <f>+IF([1]HISTM3!D10=0,"--",[1]HISTM3!D10*1000/158.97)</f>
        <v>1517380.6378561994</v>
      </c>
      <c r="E10" s="15">
        <f>+IF([1]HISTM3!E10=0,"--",[1]HISTM3!E10*1000/158.97)</f>
        <v>1659413.7258602253</v>
      </c>
      <c r="F10" s="15">
        <f>+IF([1]HISTM3!F10=0,"--",[1]HISTM3!F10*1000/158.97)</f>
        <v>1611436.1200226457</v>
      </c>
      <c r="G10" s="15">
        <f>+IF([1]HISTM3!G10=0,"--",[1]HISTM3!G10*1000/158.97)</f>
        <v>1767000.0629049507</v>
      </c>
      <c r="H10" s="30">
        <f>+IF([1]HISTM3!H10=0,"--",[1]HISTM3!H10*1000/158.97)</f>
        <v>2038466.3773038939</v>
      </c>
      <c r="I10" s="15">
        <f>+IF([1]HISTM3!I10=0,"--",[1]HISTM3!I10*1000/158.97)</f>
        <v>2161829.2759640184</v>
      </c>
      <c r="J10" s="15">
        <f>+IF([1]HISTM3!J10=0,"--",[1]HISTM3!J10*1000/158.97)</f>
        <v>2191482.6696861042</v>
      </c>
      <c r="K10" s="15">
        <v>2139655.2808706043</v>
      </c>
      <c r="L10" s="15">
        <v>2030030.8234258036</v>
      </c>
      <c r="M10" s="15">
        <v>2033340</v>
      </c>
      <c r="N10" s="15">
        <v>2032603.6359061459</v>
      </c>
      <c r="O10" s="15">
        <v>2156671</v>
      </c>
      <c r="P10" s="12">
        <v>2757220</v>
      </c>
      <c r="Q10" s="12">
        <v>3021682</v>
      </c>
      <c r="R10" s="15">
        <v>3115012</v>
      </c>
      <c r="S10" s="32">
        <v>3093148</v>
      </c>
      <c r="T10" s="16">
        <v>3186249</v>
      </c>
      <c r="U10" s="14">
        <v>3388981</v>
      </c>
      <c r="V10" s="14">
        <v>3591608</v>
      </c>
      <c r="W10" s="14">
        <v>3743963</v>
      </c>
      <c r="X10" s="14">
        <v>3674264</v>
      </c>
      <c r="Y10" s="14">
        <v>3637587</v>
      </c>
      <c r="Z10" s="14">
        <v>3660582</v>
      </c>
      <c r="AA10" s="14">
        <v>3687816</v>
      </c>
      <c r="AB10" s="14">
        <v>3719916</v>
      </c>
      <c r="AC10" s="14">
        <v>3786961</v>
      </c>
      <c r="AD10" s="16">
        <v>3761404</v>
      </c>
      <c r="AE10" s="16">
        <v>3878433.2203261913</v>
      </c>
      <c r="AF10" s="16">
        <v>3933754.1899652183</v>
      </c>
    </row>
    <row r="11" spans="1:32">
      <c r="A11" s="49" t="s">
        <v>7</v>
      </c>
      <c r="B11" s="15">
        <f>+IF([1]HISTM3!B11=0,"--",[1]HISTM3!B11*1000/158.97)</f>
        <v>2295433.100585016</v>
      </c>
      <c r="C11" s="15">
        <f>+IF([1]HISTM3!C11=0,"--",[1]HISTM3!C11*1000/158.97)</f>
        <v>2399685.4752469021</v>
      </c>
      <c r="D11" s="15">
        <f>+IF([1]HISTM3!D11=0,"--",[1]HISTM3!D11*1000/158.97)</f>
        <v>2524067.4341070643</v>
      </c>
      <c r="E11" s="15">
        <f>+IF([1]HISTM3!E11=0,"--",[1]HISTM3!E11*1000/158.97)</f>
        <v>2727225.2626281688</v>
      </c>
      <c r="F11" s="15">
        <f>+IF([1]HISTM3!F11=0,"--",[1]HISTM3!F11*1000/158.97)</f>
        <v>2828143.6749072154</v>
      </c>
      <c r="G11" s="15">
        <f>+IF([1]HISTM3!G11=0,"--",[1]HISTM3!G11*1000/158.97)</f>
        <v>2925935.7111404669</v>
      </c>
      <c r="H11" s="30">
        <f>+IF([1]HISTM3!H11=0,"--",[1]HISTM3!H11*1000/158.97)</f>
        <v>3140064.1630496322</v>
      </c>
      <c r="I11" s="15">
        <f>+IF([1]HISTM3!I11=0,"--",[1]HISTM3!I11*1000/158.97)</f>
        <v>3335358.8727432848</v>
      </c>
      <c r="J11" s="15">
        <f>+IF([1]HISTM3!J11=0,"--",[1]HISTM3!J11*1000/158.97)</f>
        <v>3560942.3161602817</v>
      </c>
      <c r="K11" s="15">
        <f>+IF([1]HISTM3!K11=0,"--",[1]HISTM3!K11*1000/158.97)</f>
        <v>3644404.6046423852</v>
      </c>
      <c r="L11" s="15">
        <f>+IF([1]HISTM3!L11=0,"--",[1]HISTM3!L11*1000/158.97)</f>
        <v>3769497.3894445491</v>
      </c>
      <c r="M11" s="15">
        <v>3990681</v>
      </c>
      <c r="N11" s="15">
        <v>4299913</v>
      </c>
      <c r="O11" s="15">
        <v>4547424</v>
      </c>
      <c r="P11" s="12">
        <v>4556293</v>
      </c>
      <c r="Q11" s="12">
        <v>4673507</v>
      </c>
      <c r="R11" s="15">
        <v>4965111</v>
      </c>
      <c r="S11" s="32">
        <v>5030307</v>
      </c>
      <c r="T11" s="16">
        <v>5286106</v>
      </c>
      <c r="U11" s="14">
        <v>5563223</v>
      </c>
      <c r="V11" s="14">
        <v>6001034</v>
      </c>
      <c r="W11" s="14">
        <v>6512721</v>
      </c>
      <c r="X11" s="14">
        <v>6599627</v>
      </c>
      <c r="Y11" s="14">
        <v>6475249</v>
      </c>
      <c r="Z11" s="14">
        <v>6445758</v>
      </c>
      <c r="AA11" s="14">
        <f>4941080+1723190</f>
        <v>6664270</v>
      </c>
      <c r="AB11" s="14">
        <f>6630883+12620</f>
        <v>6643503</v>
      </c>
      <c r="AC11" s="14">
        <v>6660115</v>
      </c>
      <c r="AD11" s="16">
        <v>6798331</v>
      </c>
      <c r="AE11" s="16">
        <v>7158852.2482970292</v>
      </c>
      <c r="AF11" s="16">
        <v>7606776.5855069915</v>
      </c>
    </row>
    <row r="12" spans="1:32">
      <c r="A12" s="49" t="s">
        <v>8</v>
      </c>
      <c r="B12" s="15">
        <f>+IF([1]HISTM3!B12=0,"--",[1]HISTM3!B12*1000/158.97)</f>
        <v>103598.16317544191</v>
      </c>
      <c r="C12" s="15">
        <f>+IF([1]HISTM3!C12=0,"--",[1]HISTM3!C12*1000/158.97)</f>
        <v>102497.32653959867</v>
      </c>
      <c r="D12" s="15">
        <f>+IF([1]HISTM3!D12=0,"--",[1]HISTM3!D12*1000/158.97)</f>
        <v>82392.904321570109</v>
      </c>
      <c r="E12" s="15">
        <f>+IF([1]HISTM3!E12=0,"--",[1]HISTM3!E12*1000/158.97)</f>
        <v>66459.080329621938</v>
      </c>
      <c r="F12" s="15">
        <f>+IF([1]HISTM3!F12=0,"--",[1]HISTM3!F12*1000/158.97)</f>
        <v>66547.147260489408</v>
      </c>
      <c r="G12" s="15">
        <f>+IF([1]HISTM3!G12=0,"--",[1]HISTM3!G12*1000/158.97)</f>
        <v>68516.072214883316</v>
      </c>
      <c r="H12" s="30">
        <f>+IF([1]HISTM3!H12=0,"--",[1]HISTM3!H12*1000/158.97)</f>
        <v>63414.480719632636</v>
      </c>
      <c r="I12" s="15">
        <f>+IF([1]HISTM3!I12=0,"--",[1]HISTM3!I12*1000/158.97)</f>
        <v>64880.166069069637</v>
      </c>
      <c r="J12" s="15">
        <f>+IF([1]HISTM3!J12=0,"--",[1]HISTM3!J12*1000/158.97)</f>
        <v>62062.024281310936</v>
      </c>
      <c r="K12" s="15">
        <f>+IF([1]HISTM3!K12=0,"--",[1]HISTM3!K12*1000/158.97)</f>
        <v>58923.067245392216</v>
      </c>
      <c r="L12" s="15">
        <f>+IF([1]HISTM3!L12=0,"--",[1]HISTM3!L12*1000/158.97)</f>
        <v>57117.6951626093</v>
      </c>
      <c r="M12" s="15">
        <v>70414</v>
      </c>
      <c r="N12" s="15">
        <v>68746</v>
      </c>
      <c r="O12" s="15">
        <v>67470</v>
      </c>
      <c r="P12" s="12">
        <v>58999</v>
      </c>
      <c r="Q12" s="12">
        <v>54629</v>
      </c>
      <c r="R12" s="15">
        <v>55004</v>
      </c>
      <c r="S12" s="32">
        <v>35805</v>
      </c>
      <c r="T12" s="16">
        <v>29576</v>
      </c>
      <c r="U12" s="14">
        <v>14989</v>
      </c>
      <c r="V12" s="14">
        <v>11796</v>
      </c>
      <c r="W12" s="14">
        <v>13251</v>
      </c>
      <c r="X12" s="14">
        <v>19399</v>
      </c>
      <c r="Y12" s="14">
        <v>21432</v>
      </c>
      <c r="Z12" s="14">
        <v>23459</v>
      </c>
      <c r="AA12" s="14">
        <v>29978</v>
      </c>
      <c r="AB12" s="14">
        <v>51593</v>
      </c>
      <c r="AC12" s="14">
        <v>46940</v>
      </c>
      <c r="AD12" s="16">
        <v>47641</v>
      </c>
      <c r="AE12" s="16">
        <v>55380.137998704311</v>
      </c>
      <c r="AF12" s="16">
        <v>52494.172479510882</v>
      </c>
    </row>
    <row r="13" spans="1:32">
      <c r="A13" s="49" t="s">
        <v>35</v>
      </c>
      <c r="B13" s="15"/>
      <c r="C13" s="15"/>
      <c r="D13" s="15"/>
      <c r="E13" s="15"/>
      <c r="F13" s="15"/>
      <c r="G13" s="15"/>
      <c r="H13" s="30"/>
      <c r="I13" s="15"/>
      <c r="J13" s="15"/>
      <c r="K13" s="15"/>
      <c r="L13" s="15"/>
      <c r="M13" s="15"/>
      <c r="N13" s="15"/>
      <c r="O13" s="15"/>
      <c r="P13" s="12"/>
      <c r="Q13" s="12"/>
      <c r="R13" s="15"/>
      <c r="S13" s="32"/>
      <c r="T13" s="16"/>
      <c r="U13" s="14"/>
      <c r="V13" s="14"/>
      <c r="W13" s="14"/>
      <c r="X13" s="14"/>
      <c r="Y13" s="14"/>
      <c r="Z13" s="14"/>
      <c r="AA13" s="14"/>
      <c r="AB13" s="14"/>
      <c r="AC13" s="14"/>
      <c r="AD13" s="16"/>
      <c r="AE13" s="16">
        <v>154.79253020687199</v>
      </c>
      <c r="AF13" s="15">
        <v>0</v>
      </c>
    </row>
    <row r="14" spans="1:32">
      <c r="A14" s="49" t="s">
        <v>37</v>
      </c>
      <c r="B14" s="15">
        <f>+IF([1]HISTM3!B13=0,"--",[1]HISTM3!B13*1000/158.97)</f>
        <v>843939.10800780018</v>
      </c>
      <c r="C14" s="15">
        <f>+IF([1]HISTM3!C13=0,"--",[1]HISTM3!C13*1000/158.97)</f>
        <v>918072.59231301502</v>
      </c>
      <c r="D14" s="15">
        <f>+IF([1]HISTM3!D13=0,"--",[1]HISTM3!D13*1000/158.97)</f>
        <v>894470.65484053595</v>
      </c>
      <c r="E14" s="15">
        <f>+IF([1]HISTM3!E13=0,"--",[1]HISTM3!E13*1000/158.97)</f>
        <v>991772.03245895449</v>
      </c>
      <c r="F14" s="15">
        <f>+IF([1]HISTM3!F13=0,"--",[1]HISTM3!F13*1000/158.97)</f>
        <v>1053777.4422847079</v>
      </c>
      <c r="G14" s="15">
        <f>+IF([1]HISTM3!G13=0,"--",[1]HISTM3!G13*1000/158.97)</f>
        <v>1001648.1097062338</v>
      </c>
      <c r="H14" s="30">
        <f>+IF([1]HISTM3!H13=0,"--",[1]HISTM3!H13*1000/158.97)</f>
        <v>1104535.4469396742</v>
      </c>
      <c r="I14" s="15">
        <f>+IF([1]HISTM3!I13=0,"--",[1]HISTM3!I13*1000/158.97)</f>
        <v>1193401.2706800026</v>
      </c>
      <c r="J14" s="15">
        <f>+IF([1]HISTM3!J13=0,"--",[1]HISTM3!J13*1000/158.97)</f>
        <v>1151865.1317858715</v>
      </c>
      <c r="K14" s="15">
        <f>+IF([1]HISTM3!K13=0,"--",[1]HISTM3!K13*1000/158.97)</f>
        <v>1180996.4144178147</v>
      </c>
      <c r="L14" s="15">
        <f>+IF([1]HISTM3!L13=0,"--",[1]HISTM3!L13*1000/158.97)</f>
        <v>1100459.2061395233</v>
      </c>
      <c r="M14" s="15">
        <v>1216933</v>
      </c>
      <c r="N14" s="15">
        <f>+IF([2]M3COESDE!N13=0,"…",[2]M3COESDE!N13*1000)/158.97</f>
        <v>1297037.1768258163</v>
      </c>
      <c r="O14" s="15">
        <v>1353942</v>
      </c>
      <c r="P14" s="12">
        <v>1377254</v>
      </c>
      <c r="Q14" s="12">
        <v>1133775</v>
      </c>
      <c r="R14" s="15">
        <v>918094</v>
      </c>
      <c r="S14" s="32">
        <v>905661</v>
      </c>
      <c r="T14" s="16">
        <v>934117</v>
      </c>
      <c r="U14" s="14">
        <v>1002171</v>
      </c>
      <c r="V14" s="14">
        <v>1122902</v>
      </c>
      <c r="W14" s="14">
        <v>1181765</v>
      </c>
      <c r="X14" s="14">
        <v>1037921</v>
      </c>
      <c r="Y14" s="14">
        <v>815258</v>
      </c>
      <c r="Z14" s="14">
        <v>813415</v>
      </c>
      <c r="AA14" s="14">
        <v>770740</v>
      </c>
      <c r="AB14" s="14">
        <v>813907</v>
      </c>
      <c r="AC14" s="14">
        <v>731733</v>
      </c>
      <c r="AD14" s="16">
        <v>675826</v>
      </c>
      <c r="AE14" s="16">
        <v>678239.96990948962</v>
      </c>
      <c r="AF14" s="16">
        <v>692506.82459572179</v>
      </c>
    </row>
    <row r="15" spans="1:32">
      <c r="A15" s="49" t="s">
        <v>10</v>
      </c>
      <c r="B15" s="15">
        <f>+IF([1]HISTM3!B14=0,"--",[1]HISTM3!B14*1000/158.97)</f>
        <v>187878.21601560042</v>
      </c>
      <c r="C15" s="15">
        <f>+IF([1]HISTM3!C14=0,"--",[1]HISTM3!C14*1000/158.97)</f>
        <v>199427.56494936152</v>
      </c>
      <c r="D15" s="15">
        <f>+IF([1]HISTM3!D14=0,"--",[1]HISTM3!D14*1000/158.97)</f>
        <v>219877.96439579796</v>
      </c>
      <c r="E15" s="15">
        <f>+IF([1]HISTM3!E14=0,"--",[1]HISTM3!E14*1000/158.97)</f>
        <v>266773.60508271999</v>
      </c>
      <c r="F15" s="15">
        <f>+IF([1]HISTM3!F14=0,"--",[1]HISTM3!F14*1000/158.97)</f>
        <v>293137.06988740014</v>
      </c>
      <c r="G15" s="15">
        <f>+IF([1]HISTM3!G14=0,"--",[1]HISTM3!G14*1000/158.97)</f>
        <v>293501.91860099393</v>
      </c>
      <c r="H15" s="30">
        <f>+IF([1]HISTM3!H14=0,"--",[1]HISTM3!H14*1000/158.97)</f>
        <v>316720.13587469334</v>
      </c>
      <c r="I15" s="15">
        <f>+IF([1]HISTM3!I14=0,"--",[1]HISTM3!I14*1000/158.97)</f>
        <v>337604.57948040508</v>
      </c>
      <c r="J15" s="15">
        <f>+IF([1]HISTM3!J14=0,"--",[1]HISTM3!J14*1000/158.97)</f>
        <v>395326.16216896271</v>
      </c>
      <c r="K15" s="15">
        <f>+IF([1]HISTM3!K14=0,"--",[1]HISTM3!K14*1000/158.97)</f>
        <v>458325.47021450591</v>
      </c>
      <c r="L15" s="15">
        <f>+IF([1]HISTM3!L14=0,"--",[1]HISTM3!L14*1000/158.97)</f>
        <v>523809.52380952379</v>
      </c>
      <c r="M15" s="15">
        <v>571028</v>
      </c>
      <c r="N15" s="15">
        <v>654892</v>
      </c>
      <c r="O15" s="15">
        <v>785884</v>
      </c>
      <c r="P15" s="12">
        <v>851719</v>
      </c>
      <c r="Q15" s="12">
        <v>882524</v>
      </c>
      <c r="R15" s="15">
        <v>960185</v>
      </c>
      <c r="S15" s="32">
        <v>1015943</v>
      </c>
      <c r="T15" s="16">
        <v>1087142</v>
      </c>
      <c r="U15" s="14">
        <v>1112784</v>
      </c>
      <c r="V15" s="14">
        <v>1136982</v>
      </c>
      <c r="W15" s="14">
        <v>1236614</v>
      </c>
      <c r="X15" s="14">
        <v>1218872</v>
      </c>
      <c r="Y15" s="14">
        <v>1230329</v>
      </c>
      <c r="Z15" s="14">
        <v>1330788</v>
      </c>
      <c r="AA15" s="14">
        <v>1364920</v>
      </c>
      <c r="AB15" s="14">
        <f>1370156+35615</f>
        <v>1405771</v>
      </c>
      <c r="AC15" s="14">
        <v>1485764</v>
      </c>
      <c r="AD15" s="16">
        <v>1595797</v>
      </c>
      <c r="AE15" s="16">
        <v>1679033.6435620533</v>
      </c>
      <c r="AF15" s="16">
        <v>1838353.5085761733</v>
      </c>
    </row>
    <row r="16" spans="1:32">
      <c r="A16" s="49" t="s">
        <v>31</v>
      </c>
      <c r="B16" s="15">
        <f>+IF([1]HISTM3!B15=0,"--",[1]HISTM3!B15*1000/158.97)</f>
        <v>6705.6677360508274</v>
      </c>
      <c r="C16" s="15">
        <f>+IF([1]HISTM3!C15=0,"--",[1]HISTM3!C15*1000/158.97)</f>
        <v>8259.4200163552869</v>
      </c>
      <c r="D16" s="15">
        <f>+IF([1]HISTM3!D15=0,"--",[1]HISTM3!D15*1000/158.97)</f>
        <v>7133.4214002642011</v>
      </c>
      <c r="E16" s="15">
        <f>+IF([1]HISTM3!E15=0,"--",[1]HISTM3!E15*1000/158.97)</f>
        <v>9272.1897213310694</v>
      </c>
      <c r="F16" s="15">
        <f>+IF([1]HISTM3!F15=0,"--",[1]HISTM3!F15*1000/158.97)</f>
        <v>7680.6944706548402</v>
      </c>
      <c r="G16" s="15">
        <f>+IF([1]HISTM3!G15=0,"--",[1]HISTM3!G15*1000/158.97)</f>
        <v>1622.947725986035</v>
      </c>
      <c r="H16" s="30">
        <f>+IF([1]HISTM3!H15=0,"--",[1]HISTM3!H15*1000/158.97)</f>
        <v>1459.3948543750394</v>
      </c>
      <c r="I16" s="15">
        <f>+IF([1]HISTM3!I15=0,"--",[1]HISTM3!I15*1000/158.97)</f>
        <v>119.51940617726615</v>
      </c>
      <c r="J16" s="15">
        <f>+IF([1]HISTM3!J15=0,"--",[1]HISTM3!J15*1000/158.97)</f>
        <v>283.07227778826194</v>
      </c>
      <c r="K16" s="15">
        <f>+IF([1]HISTM3!K15=0,"--",[1]HISTM3!K15*1000/158.97)</f>
        <v>5887.9033779958481</v>
      </c>
      <c r="L16" s="15">
        <f>+IF([1]HISTM3!L15=0,"--",[1]HISTM3!L15*1000/158.97)</f>
        <v>10001.887148518588</v>
      </c>
      <c r="M16" s="15">
        <v>20833</v>
      </c>
      <c r="N16" s="15">
        <v>25262</v>
      </c>
      <c r="O16" s="15">
        <v>38618</v>
      </c>
      <c r="P16" s="12">
        <v>48918</v>
      </c>
      <c r="Q16" s="12">
        <v>42031</v>
      </c>
      <c r="R16" s="15">
        <v>40068</v>
      </c>
      <c r="S16" s="32">
        <v>43387</v>
      </c>
      <c r="T16" s="16">
        <v>39721</v>
      </c>
      <c r="U16" s="14">
        <v>32717</v>
      </c>
      <c r="V16" s="14">
        <v>34160</v>
      </c>
      <c r="W16" s="14">
        <v>42362</v>
      </c>
      <c r="X16" s="14">
        <v>47722</v>
      </c>
      <c r="Y16" s="14">
        <v>43825</v>
      </c>
      <c r="Z16" s="14">
        <v>40019</v>
      </c>
      <c r="AA16" s="14">
        <v>43877</v>
      </c>
      <c r="AB16" s="14">
        <v>48642</v>
      </c>
      <c r="AC16" s="14">
        <v>49444</v>
      </c>
      <c r="AD16" s="16">
        <v>47760</v>
      </c>
      <c r="AE16" s="16">
        <v>43389.063256744266</v>
      </c>
      <c r="AF16" s="16">
        <v>50294.621572833006</v>
      </c>
    </row>
    <row r="17" spans="1:32">
      <c r="A17" s="49" t="s">
        <v>11</v>
      </c>
      <c r="B17" s="15">
        <f>+IF([1]HISTM3!B16=0,"--",[1]HISTM3!B16*1000/158.97)</f>
        <v>106070.32773479274</v>
      </c>
      <c r="C17" s="15">
        <f>+IF([1]HISTM3!C16=0,"--",[1]HISTM3!C16*1000/158.97)</f>
        <v>63068.503491224757</v>
      </c>
      <c r="D17" s="15">
        <f>+IF([1]HISTM3!D16=0,"--",[1]HISTM3!D16*1000/158.97)</f>
        <v>50814.619110524</v>
      </c>
      <c r="E17" s="15">
        <f>+IF([1]HISTM3!E16=0,"--",[1]HISTM3!E16*1000/158.97)</f>
        <v>66698.11914197648</v>
      </c>
      <c r="F17" s="15">
        <f>+IF([1]HISTM3!F16=0,"--",[1]HISTM3!F16*1000/158.97)</f>
        <v>65741.963892558342</v>
      </c>
      <c r="G17" s="15">
        <f>+IF([1]HISTM3!G16=0,"--",[1]HISTM3!G16*1000/158.97)</f>
        <v>82254.513430206964</v>
      </c>
      <c r="H17" s="30">
        <f>+IF([1]HISTM3!H16=0,"--",[1]HISTM3!H16*1000/158.97)</f>
        <v>78958.294017739201</v>
      </c>
      <c r="I17" s="15">
        <f>+IF([1]HISTM3!I16=0,"--",[1]HISTM3!I16*1000/158.97)</f>
        <v>106057.74674466881</v>
      </c>
      <c r="J17" s="15">
        <f>+IF([1]HISTM3!J16=0,"--",[1]HISTM3!J16*1000/158.97)</f>
        <v>141058.06126942192</v>
      </c>
      <c r="K17" s="15">
        <f>+IF([1]HISTM3!K16=0,"--",[1]HISTM3!K16*1000/158.97)</f>
        <v>150978.17198213498</v>
      </c>
      <c r="L17" s="15">
        <f>+IF([1]HISTM3!L16=0,"--",[1]HISTM3!L16*1000/158.97)</f>
        <v>114782.66339560924</v>
      </c>
      <c r="M17" s="15">
        <v>146778</v>
      </c>
      <c r="N17" s="15">
        <v>163291</v>
      </c>
      <c r="O17" s="15">
        <v>308127</v>
      </c>
      <c r="P17" s="12">
        <v>378798</v>
      </c>
      <c r="Q17" s="12">
        <v>283951</v>
      </c>
      <c r="R17" s="15">
        <v>200765</v>
      </c>
      <c r="S17" s="32">
        <v>1505</v>
      </c>
      <c r="T17" s="15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15">
        <v>0</v>
      </c>
      <c r="AE17" s="15">
        <v>0</v>
      </c>
      <c r="AF17" s="15">
        <v>0</v>
      </c>
    </row>
    <row r="18" spans="1:32">
      <c r="A18" s="49" t="s">
        <v>12</v>
      </c>
      <c r="B18" s="15">
        <f>+IF([1]HISTM3!B17=0,"--",[1]HISTM3!B17*1000/158.97)</f>
        <v>85601.056803170417</v>
      </c>
      <c r="C18" s="15">
        <f>+IF([1]HISTM3!C17=0,"--",[1]HISTM3!C17*1000/158.97)</f>
        <v>69101.088255645722</v>
      </c>
      <c r="D18" s="15">
        <f>+IF([1]HISTM3!D17=0,"--",[1]HISTM3!D17*1000/158.97)</f>
        <v>48373.907026482986</v>
      </c>
      <c r="E18" s="15">
        <f>+IF([1]HISTM3!E17=0,"--",[1]HISTM3!E17*1000/158.97)</f>
        <v>54626.659118072595</v>
      </c>
      <c r="F18" s="15">
        <f>+IF([1]HISTM3!F17=0,"--",[1]HISTM3!F17*1000/158.97)</f>
        <v>47436.623262250738</v>
      </c>
      <c r="G18" s="15">
        <f>+IF([1]HISTM3!G17=0,"--",[1]HISTM3!G17*1000/158.97)</f>
        <v>35056.928980310753</v>
      </c>
      <c r="H18" s="30">
        <f>+IF([1]HISTM3!H17=0,"--",[1]HISTM3!H17*1000/158.97)</f>
        <v>44486.381078190854</v>
      </c>
      <c r="I18" s="15">
        <f>+IF([1]HISTM3!I17=0,"--",[1]HISTM3!I17*1000/158.97)</f>
        <v>47386.299301755047</v>
      </c>
      <c r="J18" s="15">
        <f>+IF([1]HISTM3!J17=0,"--",[1]HISTM3!J17*1000/158.97)</f>
        <v>67817.827263005602</v>
      </c>
      <c r="K18" s="15">
        <f>+IF([1]HISTM3!K17=0,"--",[1]HISTM3!K17*1000/158.97)</f>
        <v>48801.660690696357</v>
      </c>
      <c r="L18" s="15">
        <f>+IF([1]HISTM3!L17=0,"--",[1]HISTM3!L17*1000/158.97)</f>
        <v>35012.895514877018</v>
      </c>
      <c r="M18" s="15">
        <v>43409</v>
      </c>
      <c r="N18" s="15">
        <v>46088</v>
      </c>
      <c r="O18" s="15">
        <v>70259</v>
      </c>
      <c r="P18" s="12">
        <v>73441</v>
      </c>
      <c r="Q18" s="12">
        <v>44137</v>
      </c>
      <c r="R18" s="15">
        <v>48531</v>
      </c>
      <c r="S18" s="32">
        <v>43936</v>
      </c>
      <c r="T18" s="16">
        <v>60783</v>
      </c>
      <c r="U18" s="14">
        <v>33223</v>
      </c>
      <c r="V18" s="14">
        <v>50108</v>
      </c>
      <c r="W18" s="14">
        <v>51448</v>
      </c>
      <c r="X18" s="14">
        <v>41304</v>
      </c>
      <c r="Y18" s="14">
        <v>52888</v>
      </c>
      <c r="Z18" s="14">
        <v>37037</v>
      </c>
      <c r="AA18" s="14">
        <v>43189</v>
      </c>
      <c r="AB18" s="14">
        <v>50271</v>
      </c>
      <c r="AC18" s="14">
        <v>45758</v>
      </c>
      <c r="AD18" s="16">
        <v>48707</v>
      </c>
      <c r="AE18" s="16">
        <v>62218.818985200043</v>
      </c>
      <c r="AF18" s="16">
        <v>69158.450105983531</v>
      </c>
    </row>
    <row r="19" spans="1:32">
      <c r="A19" s="49" t="s">
        <v>13</v>
      </c>
      <c r="B19" s="15">
        <f>+IF([1]HISTM3!B18=0,"--",[1]HISTM3!B18*1000/158.97)</f>
        <v>106145.81367553626</v>
      </c>
      <c r="C19" s="15">
        <f>+IF([1]HISTM3!C18=0,"--",[1]HISTM3!C18*1000/158.97)</f>
        <v>105516.76416934012</v>
      </c>
      <c r="D19" s="15">
        <f>+IF([1]HISTM3!D18=0,"--",[1]HISTM3!D18*1000/158.97)</f>
        <v>114512.17210794489</v>
      </c>
      <c r="E19" s="15">
        <f>+IF([1]HISTM3!E18=0,"--",[1]HISTM3!E18*1000/158.97)</f>
        <v>110593.19368434296</v>
      </c>
      <c r="F19" s="15">
        <f>+IF([1]HISTM3!F18=0,"--",[1]HISTM3!F18*1000/158.97)</f>
        <v>109743.97685097817</v>
      </c>
      <c r="G19" s="15">
        <f>+IF([1]HISTM3!G18=0,"--",[1]HISTM3!G18*1000/158.97)</f>
        <v>74819.148266968608</v>
      </c>
      <c r="H19" s="30">
        <f>+IF([1]HISTM3!H18=0,"--",[1]HISTM3!H18*1000/158.97)</f>
        <v>107435.36516323834</v>
      </c>
      <c r="I19" s="15">
        <f>+IF([1]HISTM3!I18=0,"--",[1]HISTM3!I18*1000/158.97)</f>
        <v>78379.568472038751</v>
      </c>
      <c r="J19" s="15">
        <f>+IF([1]HISTM3!J18=0,"--",[1]HISTM3!J18*1000/158.97)</f>
        <v>67559.916965465178</v>
      </c>
      <c r="K19" s="15">
        <f>+IF([1]HISTM3!K18=0,"--",[1]HISTM3!K18*1000/158.97)</f>
        <v>72466.503113795057</v>
      </c>
      <c r="L19" s="15">
        <f>+IF([1]HISTM3!L18=0,"--",[1]HISTM3!L18*1000/158.97)</f>
        <v>64018.368245580925</v>
      </c>
      <c r="M19" s="15">
        <v>39950</v>
      </c>
      <c r="N19" s="15">
        <f>+IF([2]M3COESDE!N18=0,"…",[2]M3COESDE!N18*1000)/158.97</f>
        <v>44480.090583128891</v>
      </c>
      <c r="O19" s="15">
        <f>+IF([2]M3COESDE!O18=0,"…",[2]M3COESDE!O18*1000)/158.97</f>
        <v>50267.346040133358</v>
      </c>
      <c r="P19" s="11">
        <v>47720</v>
      </c>
      <c r="Q19" s="12">
        <v>61125</v>
      </c>
      <c r="R19" s="15">
        <v>63599</v>
      </c>
      <c r="S19" s="32">
        <f>184113+4506</f>
        <v>188619</v>
      </c>
      <c r="T19" s="16">
        <f>321303+17508+1</f>
        <v>338812</v>
      </c>
      <c r="U19" s="14">
        <f>319362+21179</f>
        <v>340541</v>
      </c>
      <c r="V19" s="14">
        <f>322126+21432+1</f>
        <v>343559</v>
      </c>
      <c r="W19" s="14">
        <v>302068</v>
      </c>
      <c r="X19" s="14">
        <f>207624+23615</f>
        <v>231239</v>
      </c>
      <c r="Y19" s="14">
        <f>138114+18101</f>
        <v>156215</v>
      </c>
      <c r="Z19" s="14">
        <f>157431+18643</f>
        <v>176074</v>
      </c>
      <c r="AA19" s="14">
        <f>125509+33857</f>
        <v>159366</v>
      </c>
      <c r="AB19" s="14">
        <f>142174-212</f>
        <v>141962</v>
      </c>
      <c r="AC19" s="14">
        <v>147529</v>
      </c>
      <c r="AD19" s="16">
        <v>137146.57802210245</v>
      </c>
      <c r="AE19" s="16">
        <v>140783.00112587822</v>
      </c>
      <c r="AF19" s="16">
        <v>174452.08098775372</v>
      </c>
    </row>
    <row r="20" spans="1:32">
      <c r="A20" s="49" t="s">
        <v>14</v>
      </c>
      <c r="B20" s="15">
        <f>+IF([1]HISTM3!B19=0,"--",[1]HISTM3!B19*1000/158.97)</f>
        <v>56570.422092218658</v>
      </c>
      <c r="C20" s="15">
        <f>+IF([1]HISTM3!C19=0,"--",[1]HISTM3!C19*1000/158.97)</f>
        <v>107403.91268792855</v>
      </c>
      <c r="D20" s="15">
        <f>+IF([1]HISTM3!D19=0,"--",[1]HISTM3!D19*1000/158.97)</f>
        <v>129552.74580109454</v>
      </c>
      <c r="E20" s="15">
        <f>+IF([1]HISTM3!E19=0,"--",[1]HISTM3!E19*1000/158.97)</f>
        <v>151544.31653771151</v>
      </c>
      <c r="F20" s="15">
        <f>+IF([1]HISTM3!F19=0,"--",[1]HISTM3!F19*1000/158.97)</f>
        <v>187909.66849091023</v>
      </c>
      <c r="G20" s="15">
        <f>+IF([1]HISTM3!G19=0,"--",[1]HISTM3!G19*1000/158.97)</f>
        <v>250468.64188211612</v>
      </c>
      <c r="H20" s="30">
        <f>+IF([1]HISTM3!H19=0,"--",[1]HISTM3!H19*1000/158.97)</f>
        <v>355412.97100081778</v>
      </c>
      <c r="I20" s="15">
        <f>+IF([1]HISTM3!I19=0,"--",[1]HISTM3!I19*1000/158.97)</f>
        <v>493093.03642196639</v>
      </c>
      <c r="J20" s="15">
        <f>+IF([1]HISTM3!J19=0,"--",[1]HISTM3!J19*1000/158.97)</f>
        <v>512197.2699251431</v>
      </c>
      <c r="K20" s="15">
        <f>+IF([1]HISTM3!K19=0,"--",[1]HISTM3!K19*1000/158.97)</f>
        <v>547927.2818770837</v>
      </c>
      <c r="L20" s="15">
        <f>+IF([1]HISTM3!L19=0,"--",[1]HISTM3!L19*1000/158.97)</f>
        <v>518374.53607598919</v>
      </c>
      <c r="M20" s="15">
        <v>570210</v>
      </c>
      <c r="N20" s="15">
        <f>+IF([2]M3COESDE!N19=0,"…",[2]M3COESDE!N19*1000)/158.97</f>
        <v>690130.21324778255</v>
      </c>
      <c r="O20" s="15">
        <f>+IF([2]M3COESDE!O19=0,"…",[2]M3COESDE!O19*1000)/158.97</f>
        <v>684034.72353274201</v>
      </c>
      <c r="P20" s="11">
        <v>673727</v>
      </c>
      <c r="Q20" s="12">
        <v>577580</v>
      </c>
      <c r="R20" s="15">
        <v>613965</v>
      </c>
      <c r="S20" s="32">
        <f>659503+3844+2</f>
        <v>663349</v>
      </c>
      <c r="T20" s="16">
        <f>830845+8398+1</f>
        <v>839244</v>
      </c>
      <c r="U20" s="14">
        <f>1111742+7412+1</f>
        <v>1119155</v>
      </c>
      <c r="V20" s="14">
        <f>1082024+9629+1</f>
        <v>1091654</v>
      </c>
      <c r="W20" s="14">
        <v>1074915</v>
      </c>
      <c r="X20" s="14">
        <f>1182290+35+27286+2</f>
        <v>1209613</v>
      </c>
      <c r="Y20" s="14">
        <f>1078840+31067</f>
        <v>1109907</v>
      </c>
      <c r="Z20" s="14">
        <f>1107392+23469</f>
        <v>1130861</v>
      </c>
      <c r="AA20" s="14">
        <f>1176189+21551</f>
        <v>1197740</v>
      </c>
      <c r="AB20" s="14">
        <v>1202882</v>
      </c>
      <c r="AC20" s="14">
        <v>1106061</v>
      </c>
      <c r="AD20" s="16">
        <v>1128754.9359381585</v>
      </c>
      <c r="AE20" s="16">
        <v>1241694.1070653575</v>
      </c>
      <c r="AF20" s="16">
        <v>1369715.177970526</v>
      </c>
    </row>
    <row r="21" spans="1:32">
      <c r="A21" s="50" t="s">
        <v>24</v>
      </c>
      <c r="B21" s="20">
        <f>+B19+B20</f>
        <v>162716.23576775493</v>
      </c>
      <c r="C21" s="20">
        <f>+C19+C20</f>
        <v>212920.67685726867</v>
      </c>
      <c r="D21" s="20">
        <f>+D19+D20</f>
        <v>244064.91790903942</v>
      </c>
      <c r="E21" s="20">
        <f>+E19+E20</f>
        <v>262137.51022205446</v>
      </c>
      <c r="F21" s="20">
        <f t="shared" ref="F21:O21" si="3">+F19+F20</f>
        <v>297653.64534188842</v>
      </c>
      <c r="G21" s="20">
        <f t="shared" si="3"/>
        <v>325287.79014908476</v>
      </c>
      <c r="H21" s="3">
        <f t="shared" si="3"/>
        <v>462848.33616405609</v>
      </c>
      <c r="I21" s="20">
        <f t="shared" si="3"/>
        <v>571472.60489400511</v>
      </c>
      <c r="J21" s="20">
        <f t="shared" si="3"/>
        <v>579757.18689060828</v>
      </c>
      <c r="K21" s="20">
        <f t="shared" si="3"/>
        <v>620393.78499087878</v>
      </c>
      <c r="L21" s="20">
        <f t="shared" si="3"/>
        <v>582392.90432157007</v>
      </c>
      <c r="M21" s="20">
        <f t="shared" si="3"/>
        <v>610160</v>
      </c>
      <c r="N21" s="20">
        <f t="shared" si="3"/>
        <v>734610.30383091141</v>
      </c>
      <c r="O21" s="20">
        <f t="shared" si="3"/>
        <v>734302.06957287539</v>
      </c>
      <c r="P21" s="17">
        <v>721447</v>
      </c>
      <c r="Q21" s="17">
        <v>638705</v>
      </c>
      <c r="R21" s="20">
        <v>677564</v>
      </c>
      <c r="S21" s="31">
        <f>+S19+S20</f>
        <v>851968</v>
      </c>
      <c r="T21" s="17">
        <f>+T19+T20</f>
        <v>1178056</v>
      </c>
      <c r="U21" s="19">
        <f>+U19+U20</f>
        <v>1459696</v>
      </c>
      <c r="V21" s="19">
        <f>+V19+V20</f>
        <v>1435213</v>
      </c>
      <c r="W21" s="19">
        <v>1376983</v>
      </c>
      <c r="X21" s="19">
        <f>+X19+X20</f>
        <v>1440852</v>
      </c>
      <c r="Y21" s="19">
        <f>+Y19+Y20</f>
        <v>1266122</v>
      </c>
      <c r="Z21" s="19">
        <f t="shared" ref="Z21:AA21" si="4">+Z19+Z20</f>
        <v>1306935</v>
      </c>
      <c r="AA21" s="19">
        <f t="shared" si="4"/>
        <v>1357106</v>
      </c>
      <c r="AB21" s="19">
        <v>1344844</v>
      </c>
      <c r="AC21" s="19">
        <v>1253590</v>
      </c>
      <c r="AD21" s="17">
        <v>1265902</v>
      </c>
      <c r="AE21" s="17">
        <v>1382477.1081912352</v>
      </c>
      <c r="AF21" s="17">
        <v>1544167.2589582787</v>
      </c>
    </row>
    <row r="22" spans="1:32">
      <c r="A22" s="49" t="s">
        <v>15</v>
      </c>
      <c r="B22" s="15">
        <f>+IF([1]HISTM3!B20=0,"--",[1]HISTM3!B20*1000/158.97)</f>
        <v>26099.264012077751</v>
      </c>
      <c r="C22" s="15">
        <f>+IF([1]HISTM3!C20=0,"--",[1]HISTM3!C20*1000/158.97)</f>
        <v>24438.573315719947</v>
      </c>
      <c r="D22" s="15">
        <f>+IF([1]HISTM3!D20=0,"--",[1]HISTM3!D20*1000/158.97)</f>
        <v>22475.938856387998</v>
      </c>
      <c r="E22" s="15">
        <f>+IF([1]HISTM3!E20=0,"--",[1]HISTM3!E20*1000/158.97)</f>
        <v>23916.462225577154</v>
      </c>
      <c r="F22" s="15">
        <f>+IF([1]HISTM3!F20=0,"--",[1]HISTM3!F20*1000/158.97)</f>
        <v>22972.887966282946</v>
      </c>
      <c r="G22" s="15">
        <f>+IF([1]HISTM3!G20=0,"--",[1]HISTM3!G20*1000/158.97)</f>
        <v>27363.653519531988</v>
      </c>
      <c r="H22" s="30">
        <f>+IF([1]HISTM3!H20=0,"--",[1]HISTM3!H20*1000/158.97)</f>
        <v>31647.480656727686</v>
      </c>
      <c r="I22" s="15">
        <f>+IF([1]HISTM3!I20=0,"--",[1]HISTM3!I20*1000/158.97)</f>
        <v>36893.753538403471</v>
      </c>
      <c r="J22" s="15">
        <f>+IF([1]HISTM3!J20=0,"--",[1]HISTM3!J20*1000/158.97)</f>
        <v>37378.121658174496</v>
      </c>
      <c r="K22" s="15">
        <f>+IF([1]HISTM3!K20=0,"--",[1]HISTM3!K20*1000/158.97)</f>
        <v>34717.242246964837</v>
      </c>
      <c r="L22" s="15">
        <f>+IF([1]HISTM3!L20=0,"--",[1]HISTM3!L20*1000/158.97)</f>
        <v>32421.211549348933</v>
      </c>
      <c r="M22" s="15">
        <v>28754</v>
      </c>
      <c r="N22" s="15">
        <f>+IF([2]M3COESDE!N20=0,"…",[2]M3COESDE!N20*1000)/158.97</f>
        <v>29496.131345536895</v>
      </c>
      <c r="O22" s="15">
        <v>28220</v>
      </c>
      <c r="P22" s="12">
        <v>26728</v>
      </c>
      <c r="Q22" s="12">
        <v>21829</v>
      </c>
      <c r="R22" s="15">
        <v>23872</v>
      </c>
      <c r="S22" s="32">
        <v>21549</v>
      </c>
      <c r="T22" s="16">
        <v>21648</v>
      </c>
      <c r="U22" s="14">
        <v>18799</v>
      </c>
      <c r="V22" s="14">
        <v>16442</v>
      </c>
      <c r="W22" s="14">
        <v>13452</v>
      </c>
      <c r="X22" s="14">
        <v>12780</v>
      </c>
      <c r="Y22" s="14">
        <v>12233</v>
      </c>
      <c r="Z22" s="14">
        <v>11534</v>
      </c>
      <c r="AA22" s="14">
        <v>10801</v>
      </c>
      <c r="AB22" s="14">
        <v>10476</v>
      </c>
      <c r="AC22" s="14">
        <v>10064</v>
      </c>
      <c r="AD22" s="16">
        <v>9355</v>
      </c>
      <c r="AE22" s="16">
        <v>9317.7744092284211</v>
      </c>
      <c r="AF22" s="16">
        <v>9468.4219464484504</v>
      </c>
    </row>
    <row r="23" spans="1:32">
      <c r="A23" s="49" t="s">
        <v>16</v>
      </c>
      <c r="B23" s="15">
        <f>+IF([1]HISTM3!B21=0,"--",[1]HISTM3!B21*1000/158.97)</f>
        <v>6196.1376360319555</v>
      </c>
      <c r="C23" s="15">
        <f>+IF([1]HISTM3!C21=0,"--",[1]HISTM3!C21*1000/158.97)</f>
        <v>3761.7160470529029</v>
      </c>
      <c r="D23" s="15">
        <f>+IF([1]HISTM3!D21=0,"--",[1]HISTM3!D21*1000/158.97)</f>
        <v>2082.1538655092154</v>
      </c>
      <c r="E23" s="15">
        <f>+IF([1]HISTM3!E21=0,"--",[1]HISTM3!E21*1000/158.97)</f>
        <v>4604.6423853557271</v>
      </c>
      <c r="F23" s="15">
        <f>+IF([1]HISTM3!F21=0,"--",[1]HISTM3!F21*1000/158.97)</f>
        <v>3717.6825816191736</v>
      </c>
      <c r="G23" s="15">
        <f>+IF([1]HISTM3!G21=0,"--",[1]HISTM3!G21*1000/158.97)</f>
        <v>3610.7441655658299</v>
      </c>
      <c r="H23" s="30">
        <f>+IF([1]HISTM3!H21=0,"--",[1]HISTM3!H21*1000/158.97)</f>
        <v>3742.8445618670189</v>
      </c>
      <c r="I23" s="15">
        <f>+IF([1]HISTM3!I21=0,"--",[1]HISTM3!I21*1000/158.97)</f>
        <v>2522.4885198465117</v>
      </c>
      <c r="J23" s="15">
        <f>+IF([1]HISTM3!J21=0,"--",[1]HISTM3!J21*1000/158.97)</f>
        <v>1547.4617852424985</v>
      </c>
      <c r="K23" s="15">
        <v>0</v>
      </c>
      <c r="L23" s="15">
        <v>0</v>
      </c>
      <c r="M23" s="15">
        <v>0</v>
      </c>
      <c r="N23" s="15"/>
      <c r="O23" s="15">
        <v>0</v>
      </c>
      <c r="P23" s="15">
        <v>0</v>
      </c>
      <c r="Q23" s="15">
        <v>0</v>
      </c>
      <c r="R23" s="15">
        <v>0</v>
      </c>
      <c r="S23" s="32">
        <v>0</v>
      </c>
      <c r="T23" s="15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15">
        <v>0</v>
      </c>
      <c r="AE23" s="15">
        <v>0</v>
      </c>
      <c r="AF23" s="15">
        <v>0</v>
      </c>
    </row>
    <row r="24" spans="1:32">
      <c r="A24" s="49" t="s">
        <v>17</v>
      </c>
      <c r="B24" s="15">
        <f>+IF([1]HISTM3!B22=0,"--",[1]HISTM3!B22*1000/158.97)</f>
        <v>26696.861042964083</v>
      </c>
      <c r="C24" s="15">
        <f>+IF([1]HISTM3!C22=0,"--",[1]HISTM3!C22*1000/158.97)</f>
        <v>27986.412530666163</v>
      </c>
      <c r="D24" s="15">
        <f>+IF([1]HISTM3!D22=0,"--",[1]HISTM3!D22*1000/158.97)</f>
        <v>37875.070768069447</v>
      </c>
      <c r="E24" s="15">
        <f>+IF([1]HISTM3!E22=0,"--",[1]HISTM3!E22*1000/158.97)</f>
        <v>53330.817135308549</v>
      </c>
      <c r="F24" s="15">
        <f>+IF([1]HISTM3!F22=0,"--",[1]HISTM3!F22*1000/158.97)</f>
        <v>60067.937346669183</v>
      </c>
      <c r="G24" s="15">
        <f>+IF([1]HISTM3!G22=0,"--",[1]HISTM3!G22*1000/158.97)</f>
        <v>59728.250613323267</v>
      </c>
      <c r="H24" s="30">
        <f>+IF([1]HISTM3!H22=0,"--",[1]HISTM3!H22*1000/158.97)</f>
        <v>49569.101088255644</v>
      </c>
      <c r="I24" s="15">
        <f>+IF([1]HISTM3!I22=0,"--",[1]HISTM3!I22*1000/158.97)</f>
        <v>48266.968610429642</v>
      </c>
      <c r="J24" s="15">
        <f>+IF([1]HISTM3!J22=0,"--",[1]HISTM3!J22*1000/158.97)</f>
        <v>42580.361074416556</v>
      </c>
      <c r="K24" s="15">
        <f>+IF([1]HISTM3!K22=0,"--",[1]HISTM3!K22*1000/158.97)</f>
        <v>37296.345222369004</v>
      </c>
      <c r="L24" s="15">
        <f>+IF([1]HISTM3!L22=0,"--",[1]HISTM3!L22*1000/158.97)</f>
        <v>17594.514688305972</v>
      </c>
      <c r="M24" s="15">
        <v>16298</v>
      </c>
      <c r="N24" s="15">
        <v>18207</v>
      </c>
      <c r="O24" s="15">
        <v>16134</v>
      </c>
      <c r="P24" s="12">
        <v>9315</v>
      </c>
      <c r="Q24" s="12">
        <v>5164</v>
      </c>
      <c r="R24" s="15">
        <v>5066</v>
      </c>
      <c r="S24" s="32">
        <v>4112</v>
      </c>
      <c r="T24" s="16">
        <v>3064</v>
      </c>
      <c r="U24" s="14">
        <v>2561</v>
      </c>
      <c r="V24" s="14">
        <v>1514</v>
      </c>
      <c r="W24" s="14">
        <v>1031</v>
      </c>
      <c r="X24" s="14">
        <v>1777</v>
      </c>
      <c r="Y24" s="14">
        <v>1788</v>
      </c>
      <c r="Z24" s="14">
        <v>1835</v>
      </c>
      <c r="AA24" s="14">
        <v>5375</v>
      </c>
      <c r="AB24" s="14">
        <v>6139</v>
      </c>
      <c r="AC24" s="14">
        <v>3523</v>
      </c>
      <c r="AD24" s="16">
        <v>2462</v>
      </c>
      <c r="AE24" s="16">
        <v>1953.1534024794478</v>
      </c>
      <c r="AF24" s="16">
        <v>1988.7978262373658</v>
      </c>
    </row>
    <row r="25" spans="1:32">
      <c r="A25" s="49" t="s">
        <v>18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30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32">
        <v>604623</v>
      </c>
      <c r="T25" s="16">
        <v>671335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14">
        <v>188062</v>
      </c>
      <c r="AA25" s="14">
        <v>167919</v>
      </c>
      <c r="AB25" s="14">
        <v>54305</v>
      </c>
      <c r="AC25" s="14">
        <v>23203</v>
      </c>
      <c r="AD25" s="16">
        <v>5383</v>
      </c>
      <c r="AE25" s="16">
        <v>5075.3937617541023</v>
      </c>
      <c r="AF25" s="15">
        <v>0</v>
      </c>
    </row>
    <row r="26" spans="1:32">
      <c r="A26" s="49" t="s">
        <v>32</v>
      </c>
      <c r="B26" s="15">
        <f>+IF([1]HISTM3!B23=0,"--",[1]HISTM3!B23*1000/158.97)</f>
        <v>836.6358432408631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30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/>
      <c r="O26" s="15">
        <v>0</v>
      </c>
      <c r="P26" s="15">
        <v>0</v>
      </c>
      <c r="Q26" s="12">
        <v>3927</v>
      </c>
      <c r="R26" s="15">
        <v>76101</v>
      </c>
      <c r="S26" s="32">
        <v>392444</v>
      </c>
      <c r="T26" s="16">
        <v>385327</v>
      </c>
      <c r="U26" s="14">
        <v>163754</v>
      </c>
      <c r="V26" s="14">
        <v>186103</v>
      </c>
      <c r="W26" s="14">
        <v>348892</v>
      </c>
      <c r="X26" s="14">
        <v>316830</v>
      </c>
      <c r="Y26" s="14">
        <v>418803</v>
      </c>
      <c r="Z26" s="14">
        <v>217865</v>
      </c>
      <c r="AA26" s="14">
        <v>261992</v>
      </c>
      <c r="AB26" s="14">
        <v>379762</v>
      </c>
      <c r="AC26" s="14">
        <v>375693</v>
      </c>
      <c r="AD26" s="16">
        <v>406037</v>
      </c>
      <c r="AE26" s="16">
        <v>525963.00267946441</v>
      </c>
      <c r="AF26" s="16">
        <v>491752.76799360936</v>
      </c>
    </row>
    <row r="27" spans="1:32">
      <c r="A27" s="49" t="s">
        <v>19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30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3074</v>
      </c>
      <c r="S27" s="32">
        <v>261</v>
      </c>
      <c r="T27" s="16">
        <v>5111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15">
        <v>0</v>
      </c>
      <c r="AE27" s="15">
        <v>0</v>
      </c>
      <c r="AF27" s="15">
        <v>0</v>
      </c>
    </row>
    <row r="28" spans="1:32">
      <c r="A28" s="49" t="s">
        <v>20</v>
      </c>
      <c r="B28" s="15">
        <v>0</v>
      </c>
      <c r="C28" s="15">
        <v>0</v>
      </c>
      <c r="D28" s="15">
        <v>0</v>
      </c>
      <c r="E28" s="15">
        <f>+IF([1]HISTM3!E24=0,"--",[1]HISTM3!E24*1000/158.97)</f>
        <v>32490.406995030509</v>
      </c>
      <c r="F28" s="15">
        <f>+IF([1]HISTM3!F24=0,"--",[1]HISTM3!F24*1000/158.97)</f>
        <v>235082.09096055859</v>
      </c>
      <c r="G28" s="15">
        <f>+IF([1]HISTM3!G24=0,"--",[1]HISTM3!G24*1000/158.97)</f>
        <v>154972.63634648046</v>
      </c>
      <c r="H28" s="30">
        <f>+IF([1]HISTM3!H24=0,"--",[1]HISTM3!H24*1000/158.97)</f>
        <v>271793.42014216521</v>
      </c>
      <c r="I28" s="15">
        <f>+IF([1]HISTM3!I24=0,"--",[1]HISTM3!I24*1000/158.97)</f>
        <v>603239.60495691013</v>
      </c>
      <c r="J28" s="15">
        <f>+IF([1]HISTM3!J24=0,"--",[1]HISTM3!J24*1000/158.97)</f>
        <v>1098483.9906900674</v>
      </c>
      <c r="K28" s="15">
        <f>+IF([1]HISTM3!K24=0,"--",[1]HISTM3!K24*1000/158.97)</f>
        <v>1448053.0917783231</v>
      </c>
      <c r="L28" s="15">
        <f>+IF([1]HISTM3!L24=0,"--",[1]HISTM3!L24*1000/158.97)</f>
        <v>1683116.3112536957</v>
      </c>
      <c r="M28" s="15">
        <v>1773958</v>
      </c>
      <c r="N28" s="15">
        <v>2243964</v>
      </c>
      <c r="O28" s="15">
        <v>2469782</v>
      </c>
      <c r="P28" s="12">
        <v>1943971</v>
      </c>
      <c r="Q28" s="12">
        <v>1932376</v>
      </c>
      <c r="R28" s="15">
        <v>2170606</v>
      </c>
      <c r="S28" s="32">
        <v>2183277</v>
      </c>
      <c r="T28" s="16">
        <v>2168147</v>
      </c>
      <c r="U28" s="14">
        <v>1854018</v>
      </c>
      <c r="V28" s="14">
        <v>1676661</v>
      </c>
      <c r="W28" s="14">
        <v>1779195</v>
      </c>
      <c r="X28" s="14">
        <v>1978334</v>
      </c>
      <c r="Y28" s="14">
        <v>2232634</v>
      </c>
      <c r="Z28" s="14">
        <v>2378675</v>
      </c>
      <c r="AA28" s="14">
        <v>2552009</v>
      </c>
      <c r="AB28" s="14">
        <v>2765679</v>
      </c>
      <c r="AC28" s="14">
        <v>2812568</v>
      </c>
      <c r="AD28" s="16">
        <v>2997489</v>
      </c>
      <c r="AE28" s="16">
        <v>3441828.3507456589</v>
      </c>
      <c r="AF28" s="16">
        <v>3970482.1274695424</v>
      </c>
    </row>
    <row r="29" spans="1:32">
      <c r="A29" s="51" t="s">
        <v>21</v>
      </c>
      <c r="B29" s="23">
        <f>+IF([1]HISTM3!B26=0,"--",[1]HISTM3!B26*1000/158.97)</f>
        <v>22224.319053909541</v>
      </c>
      <c r="C29" s="23">
        <f>+IF([1]HISTM3!C26=0,"--",[1]HISTM3!C26*1000/158.97)</f>
        <v>179474.11461282003</v>
      </c>
      <c r="D29" s="23">
        <f>+IF([1]HISTM3!D26=0,"--",[1]HISTM3!D26*1000/158.97)</f>
        <v>261728.62804302698</v>
      </c>
      <c r="E29" s="23">
        <f>+IF([1]HISTM3!E26=0,"--",[1]HISTM3!E26*1000/158.97)</f>
        <v>54538.592187205133</v>
      </c>
      <c r="F29" s="23">
        <f>+IF([1]HISTM3!F26=0,"--",[1]HISTM3!F26*1000/158.97)</f>
        <v>199534.50336541486</v>
      </c>
      <c r="G29" s="23">
        <f>+IF([1]HISTM3!G26=0,"--",[1]HISTM3!G26*1000/158.97)</f>
        <v>338673.96364093857</v>
      </c>
      <c r="H29" s="24">
        <f>+IF([1]HISTM3!H26=0,"--",[1]HISTM3!H26*1000/158.97)</f>
        <v>1308385.2299175945</v>
      </c>
      <c r="I29" s="23">
        <f>+IF([1]HISTM3!I26=0,"--",[1]HISTM3!I26*1000/158.97)</f>
        <v>955519.90941687115</v>
      </c>
      <c r="J29" s="23">
        <f>+IF([1]HISTM3!J26=0,"--",[1]HISTM3!J26*1000/158.97)</f>
        <v>1924595.835692269</v>
      </c>
      <c r="K29" s="23">
        <f>+IF([1]HISTM3!K26=0,"--",[1]HISTM3!K26*1000/158.97)</f>
        <v>1642045.6689941499</v>
      </c>
      <c r="L29" s="23">
        <f>+IF([1]HISTM3!L26=0,"--",[1]HISTM3!L26*1000/158.97)</f>
        <v>1051858.8412908097</v>
      </c>
      <c r="M29" s="23">
        <f>+SUM(M30:M34)</f>
        <v>386523</v>
      </c>
      <c r="N29" s="23">
        <f>+IF([2]M3COESDE!N26=0,"…",[2]M3COESDE!N26*1000)/158.97</f>
        <v>896546.51821098325</v>
      </c>
      <c r="O29" s="23">
        <v>379675</v>
      </c>
      <c r="P29" s="23">
        <v>78381</v>
      </c>
      <c r="Q29" s="23">
        <v>290541</v>
      </c>
      <c r="R29" s="23">
        <v>182807</v>
      </c>
      <c r="S29" s="25">
        <v>324282</v>
      </c>
      <c r="T29" s="7">
        <v>257689</v>
      </c>
      <c r="U29" s="8">
        <v>508544</v>
      </c>
      <c r="V29" s="8">
        <v>1080229</v>
      </c>
      <c r="W29" s="8">
        <v>1354388</v>
      </c>
      <c r="X29" s="8">
        <v>1283084</v>
      </c>
      <c r="Y29" s="8">
        <v>853568</v>
      </c>
      <c r="Z29" s="8">
        <v>1448359</v>
      </c>
      <c r="AA29" s="8">
        <v>1585921</v>
      </c>
      <c r="AB29" s="8">
        <v>954958</v>
      </c>
      <c r="AC29" s="8">
        <v>1731292</v>
      </c>
      <c r="AD29" s="7">
        <v>1758484</v>
      </c>
      <c r="AE29" s="7">
        <v>97354.657928006694</v>
      </c>
      <c r="AF29" s="7">
        <f>'[3]VTAS MENS NAC-EXPOR BBL'!$O$38</f>
        <v>262946.22698711214</v>
      </c>
    </row>
    <row r="30" spans="1:32">
      <c r="A30" s="49" t="s">
        <v>7</v>
      </c>
      <c r="B30" s="15">
        <f>+IF([1]HISTM3!B27=0,"--",[1]HISTM3!B27*1000/158.97)</f>
        <v>22224.319053909541</v>
      </c>
      <c r="C30" s="15">
        <f>+IF([1]HISTM3!C27=0,"--",[1]HISTM3!C27*1000/158.97)</f>
        <v>61791.532993646601</v>
      </c>
      <c r="D30" s="15">
        <f>+IF([1]HISTM3!D27=0,"--",[1]HISTM3!D27*1000/158.97)</f>
        <v>148248.09712524374</v>
      </c>
      <c r="E30" s="15">
        <f>+IF([1]HISTM3!E27=0,"--",[1]HISTM3!E27*1000/158.97)</f>
        <v>49864.754356167832</v>
      </c>
      <c r="F30" s="15">
        <f>+IF([1]HISTM3!F27=0,"--",[1]HISTM3!F27*1000/158.97)</f>
        <v>175787.88450651066</v>
      </c>
      <c r="G30" s="15">
        <f>+IF([1]HISTM3!G27=0,"--",[1]HISTM3!G27*1000/158.97)</f>
        <v>215210.41705982262</v>
      </c>
      <c r="H30" s="30">
        <f>+IF([1]HISTM3!H27=0,"--",[1]HISTM3!H27*1000/158.97)</f>
        <v>1112694.219035038</v>
      </c>
      <c r="I30" s="15">
        <f>+IF([1]HISTM3!I27=0,"--",[1]HISTM3!I27*1000/158.97)</f>
        <v>828772.72441341134</v>
      </c>
      <c r="J30" s="15">
        <f>+IF([1]HISTM3!J27=0,"--",[1]HISTM3!J27*1000/158.97)</f>
        <v>1692797.3831540542</v>
      </c>
      <c r="K30" s="15">
        <f>+IF([1]HISTM3!K27=0,"--",[1]HISTM3!K27*1000/158.97)</f>
        <v>1441441.7814682017</v>
      </c>
      <c r="L30" s="15">
        <f>+IF([1]HISTM3!L27=0,"--",[1]HISTM3!L27*1000/158.97)</f>
        <v>891407.18374536082</v>
      </c>
      <c r="M30" s="15">
        <v>290602</v>
      </c>
      <c r="N30" s="15">
        <v>834228</v>
      </c>
      <c r="O30" s="15">
        <v>321817</v>
      </c>
      <c r="P30" s="12">
        <v>69887</v>
      </c>
      <c r="Q30" s="12">
        <v>286840</v>
      </c>
      <c r="R30" s="12">
        <v>175636</v>
      </c>
      <c r="S30" s="33">
        <v>291486</v>
      </c>
      <c r="T30" s="16">
        <v>237373</v>
      </c>
      <c r="U30" s="14">
        <v>478059</v>
      </c>
      <c r="V30" s="14">
        <v>1044891</v>
      </c>
      <c r="W30" s="14">
        <v>1292831</v>
      </c>
      <c r="X30" s="14">
        <v>815349</v>
      </c>
      <c r="Y30" s="14">
        <v>147702</v>
      </c>
      <c r="Z30" s="14">
        <v>84847</v>
      </c>
      <c r="AA30" s="14">
        <f>186325+9637</f>
        <v>195962</v>
      </c>
      <c r="AB30" s="14">
        <v>50766</v>
      </c>
      <c r="AC30" s="14">
        <v>405060</v>
      </c>
      <c r="AD30" s="16">
        <v>500337</v>
      </c>
      <c r="AE30" s="15">
        <v>0</v>
      </c>
      <c r="AF30" s="15">
        <v>0</v>
      </c>
    </row>
    <row r="31" spans="1:32">
      <c r="A31" s="49" t="s">
        <v>35</v>
      </c>
      <c r="B31" s="15"/>
      <c r="C31" s="15"/>
      <c r="D31" s="15"/>
      <c r="E31" s="15"/>
      <c r="F31" s="15"/>
      <c r="G31" s="15"/>
      <c r="H31" s="30"/>
      <c r="I31" s="15"/>
      <c r="J31" s="15"/>
      <c r="K31" s="15"/>
      <c r="L31" s="15"/>
      <c r="M31" s="15"/>
      <c r="N31" s="15"/>
      <c r="O31" s="15"/>
      <c r="P31" s="12"/>
      <c r="Q31" s="12"/>
      <c r="R31" s="12"/>
      <c r="S31" s="33"/>
      <c r="T31" s="16"/>
      <c r="U31" s="14"/>
      <c r="V31" s="14"/>
      <c r="W31" s="14"/>
      <c r="X31" s="14"/>
      <c r="Y31" s="14"/>
      <c r="Z31" s="14"/>
      <c r="AA31" s="14"/>
      <c r="AB31" s="14"/>
      <c r="AC31" s="14">
        <v>589768</v>
      </c>
      <c r="AD31" s="16">
        <v>1200550</v>
      </c>
      <c r="AE31" s="16">
        <v>97354.657928006694</v>
      </c>
      <c r="AF31" s="15">
        <f>'[3]VTAS MENS NAC-EXPOR BBL'!$O$38</f>
        <v>262946.22698711214</v>
      </c>
    </row>
    <row r="32" spans="1:32">
      <c r="A32" s="49" t="s">
        <v>36</v>
      </c>
      <c r="B32" s="15">
        <v>0</v>
      </c>
      <c r="C32" s="15">
        <f>+IF([1]HISTM3!C28=0,"--",[1]HISTM3!C28*1000/158.97)</f>
        <v>105428.69723847267</v>
      </c>
      <c r="D32" s="15">
        <f>+IF([1]HISTM3!D28=0,"--",[1]HISTM3!D28*1000/158.97)</f>
        <v>105208.52991130402</v>
      </c>
      <c r="E32" s="15">
        <f>+IF([1]HISTM3!E28=0,"--",[1]HISTM3!E28*1000/158.97)</f>
        <v>4554.3184248600364</v>
      </c>
      <c r="F32" s="15">
        <f>+IF([1]HISTM3!F28=0,"--",[1]HISTM3!F28*1000/158.97)</f>
        <v>23325.155689752784</v>
      </c>
      <c r="G32" s="15">
        <f>+IF([1]HISTM3!G28=0,"--",[1]HISTM3!G28*1000/158.97)</f>
        <v>123463.54658111594</v>
      </c>
      <c r="H32" s="30">
        <f>+IF([1]HISTM3!H28=0,"--",[1]HISTM3!H28*1000/158.97)</f>
        <v>195691.01088255647</v>
      </c>
      <c r="I32" s="15">
        <f>+IF([1]HISTM3!I28=0,"--",[1]HISTM3!I28*1000/158.97)</f>
        <v>126747.18500345977</v>
      </c>
      <c r="J32" s="15">
        <f>+IF([1]HISTM3!J28=0,"--",[1]HISTM3!J28*1000/158.97)</f>
        <v>231798.45253821477</v>
      </c>
      <c r="K32" s="15">
        <f>+IF([1]HISTM3!K28=0,"--",[1]HISTM3!K28*1000/158.97)</f>
        <v>200603.88752594829</v>
      </c>
      <c r="L32" s="15">
        <f>+IF([1]HISTM3!L28=0,"--",[1]HISTM3!L28*1000/158.97)</f>
        <v>160451.65754544883</v>
      </c>
      <c r="M32" s="15">
        <v>95921</v>
      </c>
      <c r="N32" s="15">
        <v>62325</v>
      </c>
      <c r="O32" s="15">
        <v>57857</v>
      </c>
      <c r="P32" s="12">
        <v>8494</v>
      </c>
      <c r="Q32" s="12">
        <v>3700</v>
      </c>
      <c r="R32" s="12">
        <v>7171</v>
      </c>
      <c r="S32" s="33">
        <v>32795</v>
      </c>
      <c r="T32" s="16">
        <v>20316</v>
      </c>
      <c r="U32" s="14">
        <v>30485</v>
      </c>
      <c r="V32" s="14">
        <v>35338</v>
      </c>
      <c r="W32" s="14">
        <v>61557</v>
      </c>
      <c r="X32" s="14">
        <v>26288</v>
      </c>
      <c r="Y32" s="14">
        <v>111226</v>
      </c>
      <c r="Z32" s="14">
        <v>219351</v>
      </c>
      <c r="AA32" s="14">
        <v>297974</v>
      </c>
      <c r="AB32" s="14">
        <v>845053</v>
      </c>
      <c r="AC32" s="14">
        <v>726519</v>
      </c>
      <c r="AD32" s="16">
        <v>57597</v>
      </c>
      <c r="AE32" s="15">
        <v>0</v>
      </c>
      <c r="AF32" s="15">
        <v>0</v>
      </c>
    </row>
    <row r="33" spans="1:32">
      <c r="A33" s="49" t="s">
        <v>22</v>
      </c>
      <c r="B33" s="15"/>
      <c r="C33" s="15"/>
      <c r="D33" s="15"/>
      <c r="E33" s="15"/>
      <c r="F33" s="15"/>
      <c r="G33" s="15"/>
      <c r="H33" s="30"/>
      <c r="I33" s="15"/>
      <c r="J33" s="15"/>
      <c r="K33" s="15"/>
      <c r="L33" s="15"/>
      <c r="M33" s="15"/>
      <c r="N33" s="15"/>
      <c r="O33" s="15"/>
      <c r="P33" s="12"/>
      <c r="Q33" s="12"/>
      <c r="R33" s="12"/>
      <c r="S33" s="33"/>
      <c r="T33" s="16"/>
      <c r="U33" s="14"/>
      <c r="V33" s="14"/>
      <c r="W33" s="14"/>
      <c r="X33" s="14">
        <v>441447</v>
      </c>
      <c r="Y33" s="14">
        <v>594640</v>
      </c>
      <c r="Z33" s="14">
        <v>991724</v>
      </c>
      <c r="AA33" s="14">
        <v>466221</v>
      </c>
      <c r="AB33" s="14">
        <v>59139</v>
      </c>
      <c r="AC33" s="14">
        <v>9945</v>
      </c>
      <c r="AD33" s="15">
        <v>0</v>
      </c>
      <c r="AE33" s="15">
        <v>0</v>
      </c>
      <c r="AF33" s="15">
        <v>0</v>
      </c>
    </row>
    <row r="34" spans="1:32">
      <c r="A34" s="49" t="s">
        <v>33</v>
      </c>
      <c r="B34" s="15">
        <v>0</v>
      </c>
      <c r="C34" s="15">
        <f>+IF([1]HISTM3!C29=0,"--",[1]HISTM3!C29*1000/158.97)</f>
        <v>12253.884380700762</v>
      </c>
      <c r="D34" s="15">
        <f>+IF([1]HISTM3!D29=0,"--",[1]HISTM3!D29*1000/158.97)</f>
        <v>8272.0010064792095</v>
      </c>
      <c r="E34" s="15">
        <f>+IF([1]HISTM3!E29=0,"--",[1]HISTM3!E29*1000/158.97)</f>
        <v>119.51940617726615</v>
      </c>
      <c r="F34" s="15">
        <f>+IF([1]HISTM3!F29=0,"--",[1]HISTM3!F29*1000/158.97)</f>
        <v>421.46316915141222</v>
      </c>
      <c r="G34" s="15">
        <v>0</v>
      </c>
      <c r="H34" s="30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32">
        <v>0</v>
      </c>
      <c r="T34" s="15">
        <v>0</v>
      </c>
      <c r="U34" s="32">
        <v>0</v>
      </c>
      <c r="V34" s="32">
        <v>0</v>
      </c>
      <c r="W34" s="13"/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15">
        <v>0</v>
      </c>
      <c r="AE34" s="15">
        <v>0</v>
      </c>
      <c r="AF34" s="15">
        <v>0</v>
      </c>
    </row>
    <row r="35" spans="1:32">
      <c r="A35" s="49" t="s">
        <v>18</v>
      </c>
      <c r="B35" s="15"/>
      <c r="C35" s="15"/>
      <c r="D35" s="15"/>
      <c r="E35" s="15"/>
      <c r="F35" s="15"/>
      <c r="G35" s="15"/>
      <c r="H35" s="30"/>
      <c r="I35" s="15"/>
      <c r="J35" s="15"/>
      <c r="K35" s="15"/>
      <c r="L35" s="15"/>
      <c r="M35" s="15"/>
      <c r="N35" s="15"/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14">
        <v>152437</v>
      </c>
      <c r="AA35" s="14">
        <v>625764</v>
      </c>
      <c r="AB35" s="32">
        <v>0</v>
      </c>
      <c r="AC35" s="32">
        <v>0</v>
      </c>
      <c r="AD35" s="15">
        <v>0</v>
      </c>
      <c r="AE35" s="15">
        <v>0</v>
      </c>
      <c r="AF35" s="15">
        <v>0</v>
      </c>
    </row>
    <row r="36" spans="1:32">
      <c r="A36" s="52" t="s">
        <v>23</v>
      </c>
      <c r="B36" s="23">
        <f>+IF([1]HISTM3!B31=0,"--",[1]HISTM3!B31*1000/158.97)</f>
        <v>798962.06831477641</v>
      </c>
      <c r="C36" s="23">
        <f>+IF([1]HISTM3!C31=0,"--",[1]HISTM3!C31*1000/158.97)</f>
        <v>608857.01704724168</v>
      </c>
      <c r="D36" s="23">
        <f>+IF([1]HISTM3!D31=0,"--",[1]HISTM3!D31*1000/158.97)</f>
        <v>703830.91149273445</v>
      </c>
      <c r="E36" s="23">
        <f>+IF([1]HISTM3!E31=0,"--",[1]HISTM3!E31*1000/158.97)</f>
        <v>1007265.5217965654</v>
      </c>
      <c r="F36" s="23">
        <f>+IF([1]HISTM3!F31=0,"--",[1]HISTM3!F31*1000/158.97)</f>
        <v>675215.44945587218</v>
      </c>
      <c r="G36" s="23">
        <f>+IF([1]HISTM3!G31=0,"--",[1]HISTM3!G31*1000/158.97)</f>
        <v>486815.12235012895</v>
      </c>
      <c r="H36" s="24">
        <f>+IF([1]HISTM3!H31=0,"--",[1]HISTM3!H31*1000/158.97)</f>
        <v>719035.03805749514</v>
      </c>
      <c r="I36" s="23">
        <f>+IF([1]HISTM3!I31=0,"--",[1]HISTM3!I31*1000/158.97)</f>
        <v>833949.80184940551</v>
      </c>
      <c r="J36" s="23">
        <f>+IF([1]HISTM3!J31=0,"--",[1]HISTM3!J31*1000/158.97)</f>
        <v>588199.03126376041</v>
      </c>
      <c r="K36" s="23">
        <f>+IF([1]HISTM3!K31=0,"--",[1]HISTM3!K31*1000/158.97)</f>
        <v>1134409.0079889288</v>
      </c>
      <c r="L36" s="23">
        <f>+IF([1]HISTM3!L31=0,"--",[1]HISTM3!L31*1000/158.97)</f>
        <v>1092929.4835503555</v>
      </c>
      <c r="M36" s="23">
        <f>+SUM(M37:M49)</f>
        <v>801906</v>
      </c>
      <c r="N36" s="23">
        <f>+SUM(N37:N49)</f>
        <v>1086974.3114424106</v>
      </c>
      <c r="O36" s="23">
        <v>1131966</v>
      </c>
      <c r="P36" s="23">
        <v>1013203</v>
      </c>
      <c r="Q36" s="23">
        <v>1317267</v>
      </c>
      <c r="R36" s="23">
        <v>1795713</v>
      </c>
      <c r="S36" s="25">
        <v>432824</v>
      </c>
      <c r="T36" s="7">
        <v>20953</v>
      </c>
      <c r="U36" s="8">
        <v>758996</v>
      </c>
      <c r="V36" s="8">
        <v>788388</v>
      </c>
      <c r="W36" s="8">
        <v>758010</v>
      </c>
      <c r="X36" s="8">
        <v>726492</v>
      </c>
      <c r="Y36" s="8">
        <v>1020381</v>
      </c>
      <c r="Z36" s="8">
        <v>834196</v>
      </c>
      <c r="AA36" s="8">
        <v>131157</v>
      </c>
      <c r="AB36" s="8">
        <v>477340</v>
      </c>
      <c r="AC36" s="8">
        <v>0</v>
      </c>
      <c r="AD36" s="7">
        <v>0</v>
      </c>
      <c r="AE36" s="7">
        <v>0</v>
      </c>
      <c r="AF36" s="7">
        <v>0</v>
      </c>
    </row>
    <row r="37" spans="1:32">
      <c r="A37" s="53" t="s">
        <v>6</v>
      </c>
      <c r="B37" s="15">
        <v>0</v>
      </c>
      <c r="C37" s="15">
        <v>0</v>
      </c>
      <c r="D37" s="15">
        <v>0</v>
      </c>
      <c r="E37" s="15">
        <f>+IF([1]HISTM3!E32=0,"--",[1]HISTM3!E32*1000/158.97)</f>
        <v>119.51940617726615</v>
      </c>
      <c r="F37" s="15">
        <f>+IF([1]HISTM3!F32=0,"--",[1]HISTM3!F32*1000/158.97)</f>
        <v>195.00534692080268</v>
      </c>
      <c r="G37" s="15">
        <f>+IF([1]HISTM3!G32=0,"--",[1]HISTM3!G32*1000/158.97)</f>
        <v>25.161980247845506</v>
      </c>
      <c r="H37" s="30">
        <v>0</v>
      </c>
      <c r="I37" s="15">
        <v>0</v>
      </c>
      <c r="J37" s="15">
        <v>0</v>
      </c>
      <c r="K37" s="15">
        <f>+IF([1]HISTM3!K32=0,"--",[1]HISTM3!K32*1000/158.97)</f>
        <v>25.161980247845506</v>
      </c>
      <c r="L37" s="15">
        <v>0</v>
      </c>
      <c r="M37" s="15">
        <v>126</v>
      </c>
      <c r="N37" s="15">
        <f>+IF([2]M3COESDE!N32=0,"…",[2]M3COESDE!N32*1000)/158.97</f>
        <v>106.9384160533434</v>
      </c>
      <c r="O37" s="15">
        <v>14</v>
      </c>
      <c r="P37" s="15">
        <v>0</v>
      </c>
      <c r="Q37" s="15">
        <v>0</v>
      </c>
      <c r="R37" s="15">
        <v>48</v>
      </c>
      <c r="S37" s="32">
        <v>0</v>
      </c>
      <c r="T37" s="15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14">
        <v>1334</v>
      </c>
      <c r="AC37" s="32">
        <v>0</v>
      </c>
      <c r="AD37" s="15">
        <v>0</v>
      </c>
      <c r="AE37" s="15">
        <v>0</v>
      </c>
      <c r="AF37" s="15">
        <v>0</v>
      </c>
    </row>
    <row r="38" spans="1:32">
      <c r="A38" s="53" t="s">
        <v>7</v>
      </c>
      <c r="B38" s="15">
        <v>0</v>
      </c>
      <c r="C38" s="15">
        <v>0</v>
      </c>
      <c r="D38" s="15">
        <v>0</v>
      </c>
      <c r="E38" s="15">
        <f>+IF([1]HISTM3!E33=0,"--",[1]HISTM3!E33*1000/158.97)</f>
        <v>13744.731710385608</v>
      </c>
      <c r="F38" s="15">
        <f>+IF([1]HISTM3!F33=0,"--",[1]HISTM3!F33*1000/158.97)</f>
        <v>28137.384412153238</v>
      </c>
      <c r="G38" s="15">
        <f>+IF([1]HISTM3!G33=0,"--",[1]HISTM3!G33*1000/158.97)</f>
        <v>36692.457696420708</v>
      </c>
      <c r="H38" s="30">
        <f>+IF([1]HISTM3!H33=0,"--",[1]HISTM3!H33*1000/158.97)</f>
        <v>147191.29395483425</v>
      </c>
      <c r="I38" s="15">
        <f>+IF([1]HISTM3!I33=0,"--",[1]HISTM3!I33*1000/158.97)</f>
        <v>98125.432471535503</v>
      </c>
      <c r="J38" s="15">
        <f>+IF([1]HISTM3!J33=0,"--",[1]HISTM3!J33*1000/158.97)</f>
        <v>103214.44297666226</v>
      </c>
      <c r="K38" s="15">
        <f>+IF([1]HISTM3!K33=0,"--",[1]HISTM3!K33*1000/158.97)</f>
        <v>81958.860162294775</v>
      </c>
      <c r="L38" s="15">
        <f>+IF([1]HISTM3!L33=0,"--",[1]HISTM3!L33*1000/158.97)</f>
        <v>100119.51940617726</v>
      </c>
      <c r="M38" s="15">
        <v>74765</v>
      </c>
      <c r="N38" s="15">
        <f>+IF([2]M3COESDE!N33=0,"…",[2]M3COESDE!N33*1000)/158.97</f>
        <v>77838.585896710065</v>
      </c>
      <c r="O38" s="15">
        <v>111492</v>
      </c>
      <c r="P38" s="12">
        <v>112850</v>
      </c>
      <c r="Q38" s="12">
        <v>118722</v>
      </c>
      <c r="R38" s="15">
        <v>30110</v>
      </c>
      <c r="S38" s="32">
        <v>2887</v>
      </c>
      <c r="T38" s="16">
        <v>395</v>
      </c>
      <c r="U38" s="14">
        <v>2895</v>
      </c>
      <c r="V38" s="14">
        <v>811</v>
      </c>
      <c r="W38" s="14">
        <v>868</v>
      </c>
      <c r="X38" s="14">
        <v>7803</v>
      </c>
      <c r="Y38" s="14">
        <v>538714</v>
      </c>
      <c r="Z38" s="14">
        <f>354854+16992</f>
        <v>371846</v>
      </c>
      <c r="AA38" s="14">
        <f>121101+3876+4780</f>
        <v>129757</v>
      </c>
      <c r="AB38" s="14">
        <v>3143</v>
      </c>
      <c r="AC38" s="32">
        <v>0</v>
      </c>
      <c r="AD38" s="15">
        <v>0</v>
      </c>
      <c r="AE38" s="15">
        <v>0</v>
      </c>
      <c r="AF38" s="15">
        <v>0</v>
      </c>
    </row>
    <row r="39" spans="1:32">
      <c r="A39" s="53" t="s">
        <v>9</v>
      </c>
      <c r="B39" s="15">
        <f>+IF([1]HISTM3!B34=0,"--",[1]HISTM3!B34*1000/158.97)</f>
        <v>362257.02962823177</v>
      </c>
      <c r="C39" s="15">
        <f>+IF([1]HISTM3!C34=0,"--",[1]HISTM3!C34*1000/158.97)</f>
        <v>150040.88821790274</v>
      </c>
      <c r="D39" s="15">
        <f>+IF([1]HISTM3!D34=0,"--",[1]HISTM3!D34*1000/158.97)</f>
        <v>391696.54651821096</v>
      </c>
      <c r="E39" s="15">
        <f>+IF([1]HISTM3!E34=0,"--",[1]HISTM3!E34*1000/158.97)</f>
        <v>412876.64339183492</v>
      </c>
      <c r="F39" s="15">
        <v>0</v>
      </c>
      <c r="G39" s="15">
        <f>+IF([1]HISTM3!G34=0,"--",[1]HISTM3!G34*1000/158.97)</f>
        <v>145813.67553626469</v>
      </c>
      <c r="H39" s="30">
        <v>0</v>
      </c>
      <c r="I39" s="15">
        <v>0</v>
      </c>
      <c r="J39" s="15">
        <v>0</v>
      </c>
      <c r="K39" s="15">
        <f>+IF([1]HISTM3!K34=0,"--",[1]HISTM3!K34*1000/158.97)</f>
        <v>98647.543561678307</v>
      </c>
      <c r="L39" s="15">
        <v>0</v>
      </c>
      <c r="M39" s="15">
        <v>0</v>
      </c>
      <c r="N39" s="15">
        <v>0</v>
      </c>
      <c r="O39" s="15">
        <v>662</v>
      </c>
      <c r="P39" s="15">
        <v>0</v>
      </c>
      <c r="Q39" s="15">
        <v>0</v>
      </c>
      <c r="R39" s="15">
        <v>0</v>
      </c>
      <c r="S39" s="32">
        <v>0</v>
      </c>
      <c r="T39" s="15">
        <v>0</v>
      </c>
      <c r="U39" s="32">
        <v>0</v>
      </c>
      <c r="V39" s="14">
        <v>187723</v>
      </c>
      <c r="W39" s="32">
        <v>0</v>
      </c>
      <c r="X39" s="32">
        <v>0</v>
      </c>
      <c r="Y39" s="32">
        <v>0</v>
      </c>
      <c r="Z39" s="14">
        <v>188164</v>
      </c>
      <c r="AA39" s="32">
        <v>0</v>
      </c>
      <c r="AB39" s="32">
        <v>0</v>
      </c>
      <c r="AC39" s="32">
        <v>0</v>
      </c>
      <c r="AD39" s="15">
        <v>0</v>
      </c>
      <c r="AE39" s="15">
        <v>0</v>
      </c>
      <c r="AF39" s="15">
        <v>0</v>
      </c>
    </row>
    <row r="40" spans="1:32">
      <c r="A40" s="53" t="s">
        <v>24</v>
      </c>
      <c r="B40" s="15">
        <f>+IF([1]HISTM3!B35=0,"--",[1]HISTM3!B35*1000/158.97)</f>
        <v>509.53010001887151</v>
      </c>
      <c r="C40" s="15">
        <f>+IF([1]HISTM3!C35=0,"--",[1]HISTM3!C35*1000/158.97)</f>
        <v>20985.091526703152</v>
      </c>
      <c r="D40" s="15">
        <f>+IF([1]HISTM3!D35=0,"--",[1]HISTM3!D35*1000/158.97)</f>
        <v>27300.748568912375</v>
      </c>
      <c r="E40" s="15">
        <f>+IF([1]HISTM3!E35=0,"--",[1]HISTM3!E35*1000/158.97)</f>
        <v>14436.686167201358</v>
      </c>
      <c r="F40" s="15">
        <f>+IF([1]HISTM3!F35=0,"--",[1]HISTM3!F35*1000/158.97)</f>
        <v>34333.522048185194</v>
      </c>
      <c r="G40" s="15">
        <f>+IF([1]HISTM3!G35=0,"--",[1]HISTM3!G35*1000/158.97)</f>
        <v>53330.817135308549</v>
      </c>
      <c r="H40" s="30">
        <f>+IF([1]HISTM3!H35=0,"--",[1]HISTM3!H35*1000/158.97)</f>
        <v>110517.70774359943</v>
      </c>
      <c r="I40" s="15">
        <f>+IF([1]HISTM3!I35=0,"--",[1]HISTM3!I35*1000/158.97)</f>
        <v>113889.41309681072</v>
      </c>
      <c r="J40" s="15">
        <f>+IF([1]HISTM3!J35=0,"--",[1]HISTM3!J35*1000/158.97)</f>
        <v>134924.82858400955</v>
      </c>
      <c r="K40" s="15">
        <f>+IF([1]HISTM3!K35=0,"--",[1]HISTM3!K35*1000/158.97)</f>
        <v>136579.2287853054</v>
      </c>
      <c r="L40" s="15">
        <f>+IF([1]HISTM3!L35=0,"--",[1]HISTM3!L35*1000/158.97)</f>
        <v>127445.42995533749</v>
      </c>
      <c r="M40" s="15">
        <v>165205</v>
      </c>
      <c r="N40" s="15">
        <v>193327</v>
      </c>
      <c r="O40" s="15">
        <v>168272</v>
      </c>
      <c r="P40" s="12">
        <v>178977</v>
      </c>
      <c r="Q40" s="12">
        <v>206165</v>
      </c>
      <c r="R40" s="15">
        <v>181946</v>
      </c>
      <c r="S40" s="32">
        <v>46980</v>
      </c>
      <c r="T40" s="16">
        <v>83</v>
      </c>
      <c r="U40" s="14">
        <v>474</v>
      </c>
      <c r="V40" s="14">
        <v>5705</v>
      </c>
      <c r="W40" s="14">
        <v>527</v>
      </c>
      <c r="X40" s="14">
        <v>59</v>
      </c>
      <c r="Y40" s="14">
        <v>20</v>
      </c>
      <c r="Z40" s="32">
        <v>0</v>
      </c>
      <c r="AA40" s="32">
        <v>0</v>
      </c>
      <c r="AB40" s="32">
        <v>211</v>
      </c>
      <c r="AC40" s="32">
        <v>0</v>
      </c>
      <c r="AD40" s="15">
        <v>0</v>
      </c>
      <c r="AE40" s="15">
        <v>0</v>
      </c>
      <c r="AF40" s="15">
        <v>0</v>
      </c>
    </row>
    <row r="41" spans="1:32">
      <c r="A41" s="53" t="s">
        <v>25</v>
      </c>
      <c r="B41" s="15">
        <v>0</v>
      </c>
      <c r="C41" s="15">
        <v>0</v>
      </c>
      <c r="D41" s="15">
        <v>0</v>
      </c>
      <c r="E41" s="15">
        <f>+IF([1]HISTM3!E36=0,"--",[1]HISTM3!E36*1000/158.97)</f>
        <v>34780.147197584447</v>
      </c>
      <c r="F41" s="15">
        <f>+IF([1]HISTM3!F36=0,"--",[1]HISTM3!F36*1000/158.97)</f>
        <v>34912.247593885637</v>
      </c>
      <c r="G41" s="15">
        <v>0</v>
      </c>
      <c r="H41" s="30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32">
        <v>0</v>
      </c>
      <c r="T41" s="15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15">
        <v>0</v>
      </c>
      <c r="AE41" s="15">
        <v>0</v>
      </c>
      <c r="AF41" s="15">
        <v>0</v>
      </c>
    </row>
    <row r="42" spans="1:32">
      <c r="A42" s="53" t="s">
        <v>15</v>
      </c>
      <c r="B42" s="15">
        <v>0</v>
      </c>
      <c r="C42" s="15">
        <v>0</v>
      </c>
      <c r="D42" s="15">
        <v>0</v>
      </c>
      <c r="E42" s="15">
        <f>+IF([1]HISTM3!E37=0,"--",[1]HISTM3!E37*1000/158.97)</f>
        <v>264.20079260237782</v>
      </c>
      <c r="F42" s="15">
        <f>+IF([1]HISTM3!F37=0,"--",[1]HISTM3!F37*1000/158.97)</f>
        <v>345.97722840787571</v>
      </c>
      <c r="G42" s="15">
        <f>+IF([1]HISTM3!G37=0,"--",[1]HISTM3!G37*1000/158.97)</f>
        <v>698.24495187771277</v>
      </c>
      <c r="H42" s="30">
        <f>+IF([1]HISTM3!H37=0,"--",[1]HISTM3!H37*1000/158.97)</f>
        <v>4648.6758507894574</v>
      </c>
      <c r="I42" s="15">
        <f>+IF([1]HISTM3!I37=0,"--",[1]HISTM3!I37*1000/158.97)</f>
        <v>1333.5849531358117</v>
      </c>
      <c r="J42" s="15">
        <f>+IF([1]HISTM3!J37=0,"--",[1]HISTM3!J37*1000/158.97)</f>
        <v>232.74831729257093</v>
      </c>
      <c r="K42" s="15">
        <f>+IF([1]HISTM3!K37=0,"--",[1]HISTM3!K37*1000/158.97)</f>
        <v>1427.9423790652324</v>
      </c>
      <c r="L42" s="15">
        <f>+IF([1]HISTM3!L37=0,"--",[1]HISTM3!L37*1000/158.97)</f>
        <v>1264.3895074542368</v>
      </c>
      <c r="M42" s="15">
        <v>2125</v>
      </c>
      <c r="N42" s="15">
        <v>2446</v>
      </c>
      <c r="O42" s="15">
        <v>1386</v>
      </c>
      <c r="P42" s="12">
        <v>1622</v>
      </c>
      <c r="Q42" s="12">
        <v>1095</v>
      </c>
      <c r="R42" s="15">
        <v>1821</v>
      </c>
      <c r="S42" s="32">
        <v>3595</v>
      </c>
      <c r="T42" s="16">
        <v>2166</v>
      </c>
      <c r="U42" s="14">
        <v>2923</v>
      </c>
      <c r="V42" s="14">
        <v>3396</v>
      </c>
      <c r="W42" s="14">
        <v>3527</v>
      </c>
      <c r="X42" s="14">
        <v>4102</v>
      </c>
      <c r="Y42" s="14">
        <v>4692</v>
      </c>
      <c r="Z42" s="14">
        <v>5456</v>
      </c>
      <c r="AA42" s="14">
        <v>1400</v>
      </c>
      <c r="AB42" s="32">
        <v>0</v>
      </c>
      <c r="AC42" s="32">
        <v>0</v>
      </c>
      <c r="AD42" s="15">
        <v>0</v>
      </c>
      <c r="AE42" s="15">
        <v>0</v>
      </c>
      <c r="AF42" s="15">
        <v>0</v>
      </c>
    </row>
    <row r="43" spans="1:32">
      <c r="A43" s="53" t="s">
        <v>12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30">
        <v>0</v>
      </c>
      <c r="I43" s="15">
        <v>0</v>
      </c>
      <c r="J43" s="15">
        <v>0</v>
      </c>
      <c r="K43" s="15">
        <f>+IF([1]HISTM3!K38=0,"--",[1]HISTM3!K38*1000/158.97)</f>
        <v>119.51940617726615</v>
      </c>
      <c r="L43" s="15">
        <f>+IF([1]HISTM3!L38=0,"--",[1]HISTM3!L38*1000/158.97)</f>
        <v>830.34534817890165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32">
        <v>0</v>
      </c>
      <c r="T43" s="15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15">
        <v>0</v>
      </c>
      <c r="AE43" s="15">
        <v>0</v>
      </c>
      <c r="AF43" s="15">
        <v>0</v>
      </c>
    </row>
    <row r="44" spans="1:32">
      <c r="A44" s="53" t="s">
        <v>17</v>
      </c>
      <c r="B44" s="15">
        <v>0</v>
      </c>
      <c r="C44" s="15">
        <v>0</v>
      </c>
      <c r="D44" s="15">
        <v>0</v>
      </c>
      <c r="E44" s="15">
        <f>+IF([1]HISTM3!E39=0,"--",[1]HISTM3!E39*1000/158.97)</f>
        <v>572.43505063848522</v>
      </c>
      <c r="F44" s="15">
        <f>+IF([1]HISTM3!F39=0,"--",[1]HISTM3!F39*1000/158.97)</f>
        <v>427.75366421337361</v>
      </c>
      <c r="G44" s="15">
        <v>0</v>
      </c>
      <c r="H44" s="30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150531</v>
      </c>
      <c r="R44" s="15">
        <v>460227</v>
      </c>
      <c r="S44" s="32">
        <v>143133</v>
      </c>
      <c r="T44" s="15">
        <v>0</v>
      </c>
      <c r="U44" s="32">
        <v>0</v>
      </c>
      <c r="V44" s="32">
        <v>0</v>
      </c>
      <c r="W44" s="32">
        <v>0</v>
      </c>
      <c r="X44" s="32">
        <v>234372</v>
      </c>
      <c r="Y44" s="14">
        <v>265945</v>
      </c>
      <c r="Z44" s="14">
        <f>183968+84762</f>
        <v>268730</v>
      </c>
      <c r="AA44" s="32">
        <v>0</v>
      </c>
      <c r="AB44" s="32">
        <v>0</v>
      </c>
      <c r="AC44" s="32">
        <v>0</v>
      </c>
      <c r="AD44" s="15">
        <v>0</v>
      </c>
      <c r="AE44" s="15">
        <v>0</v>
      </c>
      <c r="AF44" s="15">
        <v>0</v>
      </c>
    </row>
    <row r="45" spans="1:32">
      <c r="A45" s="53" t="s">
        <v>26</v>
      </c>
      <c r="B45" s="15">
        <f>+IF([1]HISTM3!B40=0,"--",[1]HISTM3!B40*1000/158.97)</f>
        <v>296187.95999245142</v>
      </c>
      <c r="C45" s="15">
        <f>+IF([1]HISTM3!C40=0,"--",[1]HISTM3!C40*1000/158.97)</f>
        <v>204183.17921620433</v>
      </c>
      <c r="D45" s="15">
        <f>+IF([1]HISTM3!D40=0,"--",[1]HISTM3!D40*1000/158.97)</f>
        <v>144341.69969176574</v>
      </c>
      <c r="E45" s="15">
        <f>+IF([1]HISTM3!E40=0,"--",[1]HISTM3!E40*1000/158.97)</f>
        <v>186997.54670692584</v>
      </c>
      <c r="F45" s="15">
        <f>+IF([1]HISTM3!F40=0,"--",[1]HISTM3!F40*1000/158.97)</f>
        <v>239189.78423601939</v>
      </c>
      <c r="G45" s="15">
        <f>+IF([1]HISTM3!G40=0,"--",[1]HISTM3!G40*1000/158.97)</f>
        <v>59105.491602189089</v>
      </c>
      <c r="H45" s="30">
        <f>+IF([1]HISTM3!H40=0,"--",[1]HISTM3!H40*1000/158.97)</f>
        <v>64943.071019689247</v>
      </c>
      <c r="I45" s="15">
        <f>+IF([1]HISTM3!I40=0,"--",[1]HISTM3!I40*1000/158.97)</f>
        <v>45297.854941183869</v>
      </c>
      <c r="J45" s="15">
        <f>+IF([1]HISTM3!J40=0,"--",[1]HISTM3!J40*1000/158.97)</f>
        <v>26847.832924451155</v>
      </c>
      <c r="K45" s="15">
        <f>+IF([1]HISTM3!K40=0,"--",[1]HISTM3!K40*1000/158.97)</f>
        <v>39158.331760709567</v>
      </c>
      <c r="L45" s="15">
        <f>+IF([1]HISTM3!L40=0,"--",[1]HISTM3!L40*1000/158.97)</f>
        <v>9561.5524941812928</v>
      </c>
      <c r="M45" s="15">
        <v>9796</v>
      </c>
      <c r="N45" s="15">
        <v>15321</v>
      </c>
      <c r="O45" s="15">
        <v>4892</v>
      </c>
      <c r="P45" s="15">
        <v>0</v>
      </c>
      <c r="Q45" s="15">
        <v>0</v>
      </c>
      <c r="R45" s="15">
        <v>0</v>
      </c>
      <c r="S45" s="32">
        <v>0</v>
      </c>
      <c r="T45" s="15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15">
        <v>0</v>
      </c>
      <c r="AE45" s="15">
        <v>0</v>
      </c>
      <c r="AF45" s="15">
        <v>0</v>
      </c>
    </row>
    <row r="46" spans="1:32">
      <c r="A46" s="53" t="s">
        <v>18</v>
      </c>
      <c r="B46" s="15">
        <f>+IF([1]HISTM3!B41=0,"--",[1]HISTM3!B41*1000/158.97)</f>
        <v>127533.49688620494</v>
      </c>
      <c r="C46" s="15">
        <f>+IF([1]HISTM3!C41=0,"--",[1]HISTM3!C41*1000/158.97)</f>
        <v>197150.40573693151</v>
      </c>
      <c r="D46" s="15">
        <f>+IF([1]HISTM3!D41=0,"--",[1]HISTM3!D41*1000/158.97)</f>
        <v>115267.03151538027</v>
      </c>
      <c r="E46" s="15">
        <f>+IF([1]HISTM3!E41=0,"--",[1]HISTM3!E41*1000/158.97)</f>
        <v>294741.14612820029</v>
      </c>
      <c r="F46" s="15">
        <f>+IF([1]HISTM3!F41=0,"--",[1]HISTM3!F41*1000/158.97)</f>
        <v>284374.41026608791</v>
      </c>
      <c r="G46" s="15">
        <f>+IF([1]HISTM3!G41=0,"--",[1]HISTM3!G41*1000/158.97)</f>
        <v>182179.02748946342</v>
      </c>
      <c r="H46" s="30">
        <f>+IF([1]HISTM3!H41=0,"--",[1]HISTM3!H41*1000/158.97)</f>
        <v>389733.91205887904</v>
      </c>
      <c r="I46" s="15">
        <f>+IF([1]HISTM3!I41=0,"--",[1]HISTM3!I41*1000/158.97)</f>
        <v>574938.66767314589</v>
      </c>
      <c r="J46" s="15">
        <f>+IF([1]HISTM3!J41=0,"--",[1]HISTM3!J41*1000/158.97)</f>
        <v>322840.78756998177</v>
      </c>
      <c r="K46" s="15">
        <f>+IF([1]HISTM3!K41=0,"--",[1]HISTM3!K41*1000/158.97)</f>
        <v>775913.69440774992</v>
      </c>
      <c r="L46" s="15">
        <f>+IF([1]HISTM3!L41=0,"--",[1]HISTM3!L41*1000/158.97)</f>
        <v>853079.19733283005</v>
      </c>
      <c r="M46" s="15">
        <v>548900</v>
      </c>
      <c r="N46" s="15">
        <v>797463</v>
      </c>
      <c r="O46" s="15">
        <v>840675</v>
      </c>
      <c r="P46" s="12">
        <v>716199</v>
      </c>
      <c r="Q46" s="12">
        <v>838431</v>
      </c>
      <c r="R46" s="15">
        <v>1120988</v>
      </c>
      <c r="S46" s="32">
        <v>236229</v>
      </c>
      <c r="T46" s="16">
        <v>18308</v>
      </c>
      <c r="U46" s="14">
        <v>752305</v>
      </c>
      <c r="V46" s="14">
        <v>590753</v>
      </c>
      <c r="W46" s="14">
        <v>753088</v>
      </c>
      <c r="X46" s="32">
        <v>480154</v>
      </c>
      <c r="Y46" s="14">
        <v>211010</v>
      </c>
      <c r="Z46" s="32">
        <v>0</v>
      </c>
      <c r="AA46" s="32">
        <v>0</v>
      </c>
      <c r="AB46" s="32">
        <v>0</v>
      </c>
      <c r="AC46" s="32">
        <v>0</v>
      </c>
      <c r="AD46" s="15">
        <v>0</v>
      </c>
      <c r="AE46" s="15">
        <v>0</v>
      </c>
      <c r="AF46" s="15">
        <v>0</v>
      </c>
    </row>
    <row r="47" spans="1:32">
      <c r="A47" s="53" t="s">
        <v>27</v>
      </c>
      <c r="B47" s="15">
        <f>+IF([1]HISTM3!B42=0,"--",[1]HISTM3!B42*1000/158.97)</f>
        <v>12474.05170786941</v>
      </c>
      <c r="C47" s="15">
        <f>+IF([1]HISTM3!C42=0,"--",[1]HISTM3!C42*1000/158.97)</f>
        <v>36497.452349499908</v>
      </c>
      <c r="D47" s="15">
        <f>+IF([1]HISTM3!D42=0,"--",[1]HISTM3!D42*1000/158.97)</f>
        <v>25224.885198465119</v>
      </c>
      <c r="E47" s="15">
        <f>+IF([1]HISTM3!E42=0,"--",[1]HISTM3!E42*1000/158.97)</f>
        <v>48732.465245014784</v>
      </c>
      <c r="F47" s="15">
        <f>+IF([1]HISTM3!F42=0,"--",[1]HISTM3!F42*1000/158.97)</f>
        <v>51871.422280933512</v>
      </c>
      <c r="G47" s="15">
        <f>+IF([1]HISTM3!G42=0,"--",[1]HISTM3!G42*1000/158.97)</f>
        <v>4617.2233754796507</v>
      </c>
      <c r="H47" s="30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32">
        <v>0</v>
      </c>
      <c r="T47" s="15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15">
        <v>0</v>
      </c>
      <c r="AE47" s="15">
        <v>0</v>
      </c>
      <c r="AF47" s="15">
        <v>0</v>
      </c>
    </row>
    <row r="48" spans="1:32">
      <c r="A48" s="53" t="s">
        <v>20</v>
      </c>
      <c r="B48" s="15">
        <v>0</v>
      </c>
      <c r="C48" s="15">
        <v>0</v>
      </c>
      <c r="D48" s="15">
        <v>0</v>
      </c>
      <c r="E48" s="15">
        <v>0</v>
      </c>
      <c r="F48" s="15">
        <f>+IF([1]HISTM3!F43=0,"--",[1]HISTM3!F43*1000/158.97)</f>
        <v>1427.9423790652324</v>
      </c>
      <c r="G48" s="15">
        <f>+IF([1]HISTM3!G43=0,"--",[1]HISTM3!G43*1000/158.97)</f>
        <v>50.323960495691011</v>
      </c>
      <c r="H48" s="30">
        <f>+IF([1]HISTM3!H43=0,"--",[1]HISTM3!H43*1000/158.97)</f>
        <v>509.53010001887151</v>
      </c>
      <c r="I48" s="15">
        <f>+IF([1]HISTM3!I43=0,"--",[1]HISTM3!I43*1000/158.97)</f>
        <v>364.84871359375984</v>
      </c>
      <c r="J48" s="15">
        <f>+IF([1]HISTM3!J43=0,"--",[1]HISTM3!J43*1000/158.97)</f>
        <v>138.39089136315027</v>
      </c>
      <c r="K48" s="15">
        <f>+IF([1]HISTM3!K43=0,"--",[1]HISTM3!K43*1000/158.97)</f>
        <v>578.72554570044667</v>
      </c>
      <c r="L48" s="15">
        <f>+IF([1]HISTM3!L43=0,"--",[1]HISTM3!L43*1000/158.97)</f>
        <v>629.0495061961376</v>
      </c>
      <c r="M48" s="15">
        <v>371</v>
      </c>
      <c r="N48" s="15">
        <f>+IF([1]HISTM3!N43=0,"--",[1]HISTM3!N43*1000/158.97)</f>
        <v>471.78712964710326</v>
      </c>
      <c r="O48" s="15">
        <v>546</v>
      </c>
      <c r="P48" s="11">
        <v>116</v>
      </c>
      <c r="Q48" s="15">
        <v>0</v>
      </c>
      <c r="R48" s="15">
        <v>0</v>
      </c>
      <c r="S48" s="32">
        <v>0</v>
      </c>
      <c r="T48" s="15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14">
        <v>1179</v>
      </c>
      <c r="AC48" s="32">
        <v>0</v>
      </c>
      <c r="AD48" s="15">
        <v>0</v>
      </c>
      <c r="AE48" s="15">
        <v>0</v>
      </c>
      <c r="AF48" s="15">
        <v>0</v>
      </c>
    </row>
    <row r="49" spans="1:32">
      <c r="A49" s="53" t="s">
        <v>10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f>+IF([1]HISTM3!G44=0,"--",[1]HISTM3!G44*1000/158.97)</f>
        <v>4302.6986223815811</v>
      </c>
      <c r="H49" s="30">
        <f>+IF([1]HISTM3!H44=0,"--",[1]HISTM3!H44*1000/158.97)</f>
        <v>1490.8473296848463</v>
      </c>
      <c r="I49" s="15">
        <v>0</v>
      </c>
      <c r="J49" s="15">
        <v>0</v>
      </c>
      <c r="K49" s="15">
        <v>0</v>
      </c>
      <c r="L49" s="15">
        <v>0</v>
      </c>
      <c r="M49" s="15">
        <v>618</v>
      </c>
      <c r="N49" s="15">
        <v>0</v>
      </c>
      <c r="O49" s="15">
        <v>4026</v>
      </c>
      <c r="P49" s="12">
        <v>3431</v>
      </c>
      <c r="Q49" s="12">
        <v>2321</v>
      </c>
      <c r="R49" s="15">
        <v>573</v>
      </c>
      <c r="S49" s="32">
        <v>0</v>
      </c>
      <c r="T49" s="15">
        <v>0</v>
      </c>
      <c r="U49" s="14">
        <v>399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15">
        <v>0</v>
      </c>
      <c r="AE49" s="15">
        <v>0</v>
      </c>
      <c r="AF49" s="15">
        <v>0</v>
      </c>
    </row>
    <row r="50" spans="1:32" ht="15.75" thickBot="1">
      <c r="A50" s="53" t="s">
        <v>34</v>
      </c>
      <c r="B50" s="15"/>
      <c r="C50" s="15"/>
      <c r="D50" s="15"/>
      <c r="E50" s="15"/>
      <c r="F50" s="15"/>
      <c r="G50" s="15"/>
      <c r="H50" s="30"/>
      <c r="I50" s="15"/>
      <c r="J50" s="15"/>
      <c r="K50" s="15"/>
      <c r="L50" s="15"/>
      <c r="M50" s="15"/>
      <c r="N50" s="15"/>
      <c r="O50" s="15"/>
      <c r="P50" s="12"/>
      <c r="Q50" s="12"/>
      <c r="R50" s="15"/>
      <c r="S50" s="32"/>
      <c r="T50" s="15"/>
      <c r="U50" s="14"/>
      <c r="V50" s="32"/>
      <c r="W50" s="32"/>
      <c r="X50" s="32"/>
      <c r="Y50" s="32"/>
      <c r="Z50" s="32"/>
      <c r="AA50" s="32"/>
      <c r="AB50" s="14">
        <v>471473</v>
      </c>
      <c r="AC50" s="32">
        <v>0</v>
      </c>
      <c r="AD50" s="15">
        <v>0</v>
      </c>
      <c r="AE50" s="15">
        <v>0</v>
      </c>
      <c r="AF50" s="15">
        <v>0</v>
      </c>
    </row>
    <row r="51" spans="1:32" ht="15.75" thickBot="1">
      <c r="A51" s="34" t="s">
        <v>28</v>
      </c>
      <c r="B51" s="21">
        <f>+IF([1]HISTM3!B45=0,"--",[1]HISTM3!B45*1000/158.97)</f>
        <v>5910926.5899226265</v>
      </c>
      <c r="C51" s="21">
        <f>+IF([1]HISTM3!C45=0,"--",[1]HISTM3!C45*1000/158.97)</f>
        <v>6227508.3349059569</v>
      </c>
      <c r="D51" s="21">
        <f>+IF([1]HISTM3!D45=0,"--",[1]HISTM3!D45*1000/158.97)</f>
        <v>6616569.1639932059</v>
      </c>
      <c r="E51" s="21">
        <f>+IF([1]HISTM3!E45=0,"--",[1]HISTM3!E45*1000/158.97)</f>
        <v>7280524.6272881674</v>
      </c>
      <c r="F51" s="21">
        <f>+IF([1]HISTM3!F45=0,"--",[1]HISTM3!F45*1000/158.97)</f>
        <v>7468144.9330062279</v>
      </c>
      <c r="G51" s="21">
        <f>+IF([1]HISTM3!G45=0,"--",[1]HISTM3!G45*1000/158.97)</f>
        <v>7571988.4254890857</v>
      </c>
      <c r="H51" s="21">
        <f>+IF([1]HISTM3!H45=0,"--",[1]HISTM3!H45*1000/158.97)</f>
        <v>9635126.1244259924</v>
      </c>
      <c r="I51" s="21">
        <f>+IF([1]HISTM3!I45=0,"--",[1]HISTM3!I45*1000/158.97)</f>
        <v>10298502.862175254</v>
      </c>
      <c r="J51" s="21">
        <f>+IF([1]HISTM3!J45=0,"--",[1]HISTM3!J45*1000/158.97)</f>
        <v>11843379.253947286</v>
      </c>
      <c r="K51" s="21">
        <f>+IF([1]HISTM3!K45=0,"--",[1]HISTM3!K45*1000/158.97)</f>
        <v>12604887.714663144</v>
      </c>
      <c r="L51" s="21">
        <f>+IF([1]HISTM3!L45=0,"--",[1]HISTM3!L45*1000/158.97)</f>
        <v>12101025.3506951</v>
      </c>
      <c r="M51" s="21">
        <f>+SUM(M7+M36)</f>
        <v>11711015</v>
      </c>
      <c r="N51" s="21">
        <f>+SUM(N7+N36)</f>
        <v>13597631.077561801</v>
      </c>
      <c r="O51" s="21">
        <f>+SUM(O7+O36)</f>
        <v>14088482.069572875</v>
      </c>
      <c r="P51" s="21">
        <f>+SUM(P7+P36)</f>
        <v>13895695</v>
      </c>
      <c r="Q51" s="21">
        <f>+SUM(Q7+Q36)</f>
        <v>14346052</v>
      </c>
      <c r="R51" s="21">
        <v>15237572</v>
      </c>
      <c r="S51" s="21">
        <v>14985033</v>
      </c>
      <c r="T51" s="21">
        <v>15335026</v>
      </c>
      <c r="U51" s="22">
        <v>15914456</v>
      </c>
      <c r="V51" s="22">
        <v>17133141</v>
      </c>
      <c r="W51" s="21">
        <v>18414075</v>
      </c>
      <c r="X51" s="21">
        <v>18399257</v>
      </c>
      <c r="Y51" s="21">
        <v>18082101</v>
      </c>
      <c r="Z51" s="21">
        <v>18738517</v>
      </c>
      <c r="AA51" s="21">
        <v>18677069</v>
      </c>
      <c r="AB51" s="21">
        <v>18727106</v>
      </c>
      <c r="AC51" s="54">
        <v>19016649</v>
      </c>
      <c r="AD51" s="21">
        <v>19420578</v>
      </c>
      <c r="AE51" s="69">
        <v>19019671.335983444</v>
      </c>
      <c r="AF51" s="64">
        <v>20524143.953983665</v>
      </c>
    </row>
    <row r="52" spans="1:32">
      <c r="A52" s="2"/>
      <c r="B52" s="3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1"/>
    </row>
    <row r="53" spans="1:32">
      <c r="A53" s="41" t="s">
        <v>38</v>
      </c>
      <c r="B53" s="4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1"/>
    </row>
    <row r="54" spans="1:32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6"/>
      <c r="Q54" s="37"/>
      <c r="R54" s="37"/>
      <c r="S54" s="38"/>
      <c r="T54" s="38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36"/>
      <c r="Q55" s="39"/>
      <c r="R55" s="39"/>
      <c r="S55" s="39"/>
      <c r="T55" s="40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2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</sheetData>
  <mergeCells count="5">
    <mergeCell ref="AE5:AF5"/>
    <mergeCell ref="A1:AF1"/>
    <mergeCell ref="A2:AF2"/>
    <mergeCell ref="A3:AF3"/>
    <mergeCell ref="A4:AF4"/>
  </mergeCells>
  <printOptions horizontalCentered="1"/>
  <pageMargins left="0.196850393700787" right="0.196850393700787" top="0.25" bottom="0.196850393700787" header="0.31496062992126" footer="0.31496062992126"/>
  <pageSetup scale="75" orientation="landscape" r:id="rId1"/>
  <headerFooter>
    <oddFooter>&amp;C&amp;14 &amp;12 14</oddFooter>
  </headerFooter>
  <ignoredErrors>
    <ignoredError sqref="Q7:Q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 Barriles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Juanjose-cc</dc:creator>
  <cp:lastModifiedBy>Juanjose-cc</cp:lastModifiedBy>
  <cp:lastPrinted>2015-02-27T16:06:47Z</cp:lastPrinted>
  <dcterms:created xsi:type="dcterms:W3CDTF">2012-09-07T13:48:26Z</dcterms:created>
  <dcterms:modified xsi:type="dcterms:W3CDTF">2017-02-01T20:40:17Z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Ventas Anuales BARRILES 2005 al 2015 (EST 198).xlsx</vt:lpwstr>
  </property>
</Properties>
</file>