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173" documentId="13_ncr:1_{8621F33A-E581-4B2B-8C24-DD17DCFBD997}" xr6:coauthVersionLast="47" xr6:coauthVersionMax="47" xr10:uidLastSave="{FD57A73E-1FCE-4B47-B381-73D088E70BC3}"/>
  <bookViews>
    <workbookView xWindow="-120" yWindow="-120" windowWidth="20730" windowHeight="11040" firstSheet="1" activeTab="4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2.0" hidden="1">Auxiliar!$L$10:$L$19</definedName>
    <definedName name="_xlchart.v2.1" hidden="1">Auxiliar!$M$10:$M$19</definedName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4" i="16" l="1"/>
  <c r="N25" i="16"/>
  <c r="N26" i="16"/>
  <c r="N27" i="16"/>
  <c r="N28" i="16"/>
  <c r="N29" i="16"/>
  <c r="N30" i="16"/>
  <c r="N31" i="16"/>
  <c r="N32" i="16"/>
  <c r="N33" i="16"/>
  <c r="N34" i="16"/>
  <c r="N23" i="16"/>
  <c r="I5" i="16" a="1"/>
  <c r="I5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I38" i="16"/>
  <c r="I39" i="16"/>
  <c r="I37" i="16"/>
  <c r="I32" i="16"/>
  <c r="I33" i="16"/>
  <c r="I34" i="16"/>
  <c r="I31" i="16"/>
  <c r="I26" i="16"/>
  <c r="I27" i="16"/>
  <c r="I28" i="16"/>
  <c r="I25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9" i="16"/>
  <c r="D29" i="16"/>
  <c r="E29" i="16"/>
  <c r="C23" i="16"/>
  <c r="D23" i="16"/>
  <c r="E23" i="16"/>
  <c r="C21" i="16"/>
  <c r="D21" i="16"/>
  <c r="E21" i="16"/>
  <c r="C17" i="16"/>
  <c r="D17" i="16"/>
  <c r="E17" i="16"/>
  <c r="C11" i="16"/>
  <c r="D11" i="16"/>
  <c r="E11" i="16"/>
  <c r="N11" i="16"/>
  <c r="M12" i="16"/>
  <c r="L12" i="16"/>
  <c r="C12" i="16"/>
  <c r="D12" i="16"/>
  <c r="E12" i="16"/>
  <c r="C13" i="16"/>
  <c r="D13" i="16"/>
  <c r="E13" i="16"/>
  <c r="C25" i="16"/>
  <c r="D25" i="16"/>
  <c r="E25" i="16"/>
  <c r="N12" i="16"/>
  <c r="M13" i="16"/>
  <c r="L13" i="16"/>
  <c r="C28" i="16"/>
  <c r="D28" i="16"/>
  <c r="E28" i="16"/>
  <c r="N13" i="16"/>
  <c r="M14" i="16"/>
  <c r="L14" i="16"/>
  <c r="C16" i="16"/>
  <c r="D16" i="16"/>
  <c r="E16" i="16"/>
  <c r="C26" i="16"/>
  <c r="D26" i="16"/>
  <c r="E26" i="16"/>
  <c r="N14" i="16"/>
  <c r="M15" i="16"/>
  <c r="L15" i="16"/>
  <c r="C27" i="16"/>
  <c r="D27" i="16"/>
  <c r="E27" i="16"/>
  <c r="C15" i="16"/>
  <c r="D15" i="16"/>
  <c r="E15" i="16"/>
  <c r="N15" i="16"/>
  <c r="M16" i="16"/>
  <c r="L16" i="16"/>
  <c r="N16" i="16"/>
  <c r="M17" i="16"/>
  <c r="L17" i="16"/>
  <c r="C19" i="16"/>
  <c r="D19" i="16"/>
  <c r="E19" i="16"/>
  <c r="C31" i="16"/>
  <c r="D31" i="16"/>
  <c r="E31" i="16"/>
  <c r="C14" i="16"/>
  <c r="D14" i="16"/>
  <c r="E14" i="16"/>
  <c r="N17" i="16"/>
  <c r="M18" i="16"/>
  <c r="L18" i="16"/>
  <c r="C30" i="16"/>
  <c r="D30" i="16"/>
  <c r="E30" i="16"/>
  <c r="N18" i="16"/>
  <c r="M19" i="16"/>
  <c r="L19" i="16"/>
  <c r="C20" i="16"/>
  <c r="D20" i="16"/>
  <c r="E20" i="16"/>
  <c r="N19" i="16"/>
  <c r="M10" i="16"/>
  <c r="L10" i="16"/>
  <c r="N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8" i="16"/>
  <c r="D18" i="16"/>
  <c r="E18" i="16"/>
  <c r="C22" i="16"/>
  <c r="D22" i="16"/>
  <c r="E22" i="16"/>
  <c r="C24" i="16"/>
  <c r="D24" i="16"/>
  <c r="E24" i="16"/>
  <c r="C5" i="16"/>
  <c r="D5" i="16"/>
  <c r="E5" i="16"/>
  <c r="K5" i="16" a="1"/>
  <c r="K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<sst xmlns="http://schemas.openxmlformats.org/spreadsheetml/2006/main" count="2524" uniqueCount="97">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</sst>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Auxiliar!$N$10:$N$19</c:f>
              <c:numCache>
                <c:formatCode>0%</c:formatCode>
                <c:ptCount val="10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31-46F6-B7CB-AFAB3419BD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6751167"/>
        <c:axId val="2080678463"/>
      </c:lineChart>
      <c:catAx>
        <c:axId val="2086751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0678463"/>
        <c:crosses val="autoZero"/>
        <c:auto val="1"/>
        <c:lblAlgn val="ctr"/>
        <c:lblOffset val="100"/>
        <c:noMultiLvlLbl val="0"/>
      </c:catAx>
      <c:valAx>
        <c:axId val="20806784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8675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B8-4BF3-BD0A-EBBAD30CC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B8-4BF3-BD0A-EBBAD30CC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B8-4BF3-BD0A-EBBAD30CC9AF}"/>
              </c:ext>
            </c:extLst>
          </c:dPt>
          <c:cat>
            <c:strRef>
              <c:f>Auxiliar!$H$37:$H$39</c:f>
              <c:strCache>
                <c:ptCount val="3"/>
                <c:pt idx="0">
                  <c:v>Cartão de Crédito</c:v>
                </c:pt>
                <c:pt idx="1">
                  <c:v>Boleto Bancário</c:v>
                </c:pt>
                <c:pt idx="2">
                  <c:v>Depósito Bancário</c:v>
                </c:pt>
              </c:strCache>
            </c:strRef>
          </c:cat>
          <c:val>
            <c:numRef>
              <c:f>Auxiliar!$I$37:$I$39</c:f>
              <c:numCache>
                <c:formatCode>_-"R$"\ * #,##0_-;\-"R$"\ * #,##0_-;_-"R$"\ * "-"??_-;_-@_-</c:formatCode>
                <c:ptCount val="3"/>
                <c:pt idx="0">
                  <c:v>106988</c:v>
                </c:pt>
                <c:pt idx="1">
                  <c:v>21993</c:v>
                </c:pt>
                <c:pt idx="2">
                  <c:v>17595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B8-4BF3-BD0A-EBBAD30CC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12-4709-B446-127D991F03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12-4709-B446-127D991F03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12-4709-B446-127D991F03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12-4709-B446-127D991F03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Auxiliar!$H$25:$H$28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Auxiliar!$I$25:$I$28</c:f>
              <c:numCache>
                <c:formatCode>_-"R$"\ * #,##0_-;\-"R$"\ * #,##0_-;_-"R$"\ * "-"??_-;_-@_-</c:formatCode>
                <c:ptCount val="4"/>
                <c:pt idx="0">
                  <c:v>38668</c:v>
                </c:pt>
                <c:pt idx="1">
                  <c:v>38673</c:v>
                </c:pt>
                <c:pt idx="2">
                  <c:v>33094</c:v>
                </c:pt>
                <c:pt idx="3">
                  <c:v>36141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12-4709-B446-127D991F03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75-4641-9E94-C65894C14E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75-4641-9E94-C65894C14E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E75-4641-9E94-C65894C14E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75-4641-9E94-C65894C14E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Auxiliar!$H$31:$H$34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Auxiliar!$I$31:$I$34</c:f>
              <c:numCache>
                <c:formatCode>_-"R$"\ * #,##0_-;\-"R$"\ * #,##0_-;_-"R$"\ * "-"??_-;_-@_-</c:formatCode>
                <c:ptCount val="4"/>
                <c:pt idx="0">
                  <c:v>1933.3999999999999</c:v>
                </c:pt>
                <c:pt idx="1">
                  <c:v>1933.65</c:v>
                </c:pt>
                <c:pt idx="2">
                  <c:v>1654.7</c:v>
                </c:pt>
                <c:pt idx="3">
                  <c:v>1807.05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75-4641-9E94-C65894C14E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Auxiliar!$M$23:$M$34</c:f>
              <c:numCache>
                <c:formatCode>_-"R$"\ * #,##0_-;\-"R$"\ * #,##0_-;_-"R$"\ * "-"??_-;_-@_-</c:formatCode>
                <c:ptCount val="12"/>
                <c:pt idx="0">
                  <c:v>3915</c:v>
                </c:pt>
                <c:pt idx="1">
                  <c:v>33513</c:v>
                </c:pt>
                <c:pt idx="2">
                  <c:v>3635</c:v>
                </c:pt>
                <c:pt idx="3">
                  <c:v>48244</c:v>
                </c:pt>
                <c:pt idx="4">
                  <c:v>4510</c:v>
                </c:pt>
                <c:pt idx="5">
                  <c:v>33470</c:v>
                </c:pt>
                <c:pt idx="6">
                  <c:v>2345</c:v>
                </c:pt>
                <c:pt idx="7">
                  <c:v>26160</c:v>
                </c:pt>
                <c:pt idx="8">
                  <c:v>16373</c:v>
                </c:pt>
                <c:pt idx="9">
                  <c:v>32535</c:v>
                </c:pt>
                <c:pt idx="10">
                  <c:v>6100</c:v>
                </c:pt>
                <c:pt idx="11">
                  <c:v>21510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D-4806-AFA9-55DD6FB3A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1097151"/>
        <c:axId val="9548719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Auxiliar!$N$23:$N$34</c:f>
              <c:numCache>
                <c:formatCode>General</c:formatCode>
                <c:ptCount val="12"/>
                <c:pt idx="0">
                  <c:v>2</c:v>
                </c:pt>
                <c:pt idx="1">
                  <c:v>11</c:v>
                </c:pt>
                <c:pt idx="2">
                  <c:v>2</c:v>
                </c:pt>
                <c:pt idx="3">
                  <c:v>11</c:v>
                </c:pt>
                <c:pt idx="4">
                  <c:v>2</c:v>
                </c:pt>
                <c:pt idx="5">
                  <c:v>10</c:v>
                </c:pt>
                <c:pt idx="6">
                  <c:v>1</c:v>
                </c:pt>
                <c:pt idx="7">
                  <c:v>9</c:v>
                </c:pt>
                <c:pt idx="8">
                  <c:v>4</c:v>
                </c:pt>
                <c:pt idx="9">
                  <c:v>10</c:v>
                </c:pt>
                <c:pt idx="10">
                  <c:v>3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D-4806-AFA9-55DD6FB3A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094751"/>
        <c:axId val="954874431"/>
      </c:lineChart>
      <c:catAx>
        <c:axId val="20610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871951"/>
        <c:crosses val="autoZero"/>
        <c:auto val="1"/>
        <c:lblAlgn val="ctr"/>
        <c:lblOffset val="100"/>
        <c:noMultiLvlLbl val="0"/>
      </c:catAx>
      <c:valAx>
        <c:axId val="95487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097151"/>
        <c:crosses val="autoZero"/>
        <c:crossBetween val="between"/>
      </c:valAx>
      <c:valAx>
        <c:axId val="954874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094751"/>
        <c:crosses val="max"/>
        <c:crossBetween val="between"/>
      </c:valAx>
      <c:catAx>
        <c:axId val="20610947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4874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10 Principais Estados Vendas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Principais Estados Vendas</a:t>
          </a:r>
        </a:p>
      </cx:txPr>
    </cx:title>
    <cx:plotArea>
      <cx:plotAreaRegion>
        <cx:series layoutId="funnel" uniqueId="{0CE54EC0-5959-429E-8085-5EC98614EF1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19" val="13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10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344020</xdr:colOff>
      <xdr:row>1</xdr:row>
      <xdr:rowOff>129427</xdr:rowOff>
    </xdr:from>
    <xdr:to>
      <xdr:col>5</xdr:col>
      <xdr:colOff>509308</xdr:colOff>
      <xdr:row>11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020" y="453277"/>
              <a:ext cx="3213288" cy="1927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185458</xdr:colOff>
      <xdr:row>1</xdr:row>
      <xdr:rowOff>149598</xdr:rowOff>
    </xdr:from>
    <xdr:to>
      <xdr:col>11</xdr:col>
      <xdr:colOff>457200</xdr:colOff>
      <xdr:row>11</xdr:row>
      <xdr:rowOff>133350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248210</xdr:colOff>
      <xdr:row>2</xdr:row>
      <xdr:rowOff>14007</xdr:rowOff>
    </xdr:from>
    <xdr:to>
      <xdr:col>17</xdr:col>
      <xdr:colOff>476250</xdr:colOff>
      <xdr:row>12</xdr:row>
      <xdr:rowOff>9525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E27A9F19-E3C8-ED6B-3DE2-3D8C90F61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200586</xdr:colOff>
      <xdr:row>12</xdr:row>
      <xdr:rowOff>114300</xdr:rowOff>
    </xdr:from>
    <xdr:to>
      <xdr:col>4</xdr:col>
      <xdr:colOff>66676</xdr:colOff>
      <xdr:row>23</xdr:row>
      <xdr:rowOff>109256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EC9A639B-08DF-17C8-1F0D-4EC4F7F36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219635</xdr:colOff>
      <xdr:row>12</xdr:row>
      <xdr:rowOff>133350</xdr:rowOff>
    </xdr:from>
    <xdr:to>
      <xdr:col>8</xdr:col>
      <xdr:colOff>152400</xdr:colOff>
      <xdr:row>23</xdr:row>
      <xdr:rowOff>114300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D300D3E1-6A24-7C52-2BC0-63F4F66CA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248209</xdr:colOff>
      <xdr:row>12</xdr:row>
      <xdr:rowOff>127186</xdr:rowOff>
    </xdr:from>
    <xdr:to>
      <xdr:col>17</xdr:col>
      <xdr:colOff>504824</xdr:colOff>
      <xdr:row>23</xdr:row>
      <xdr:rowOff>104775</xdr:rowOff>
    </xdr:to>
    <xdr:graphicFrame macro="">
      <xdr:nvGraphicFramePr>
        <xdr:cNvPr id="7" name="Gráfico 8">
          <a:extLst>
            <a:ext uri="{FF2B5EF4-FFF2-40B4-BE49-F238E27FC236}">
              <a16:creationId xmlns:a16="http://schemas.microsoft.com/office/drawing/2014/main" id="{36C724BE-F6A6-D510-C343-AD24DCB63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opLeftCell="A6" zoomScale="85" zoomScaleNormal="85" workbookViewId="0">
      <selection activeCell="L23" sqref="L23:N34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3" width="12.7109375" customWidth="1"/>
    <col min="14" max="14" width="14.42578125" bestFit="1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Rio de Janeiro</v>
      </c>
      <c r="J5" s="36"/>
      <c r="K5" s="23" cm="1">
        <f t="array" ref="K5">INDEX(Auxiliar!ListaAnos,Auxiliar!IndiceAno)</f>
        <v>2018</v>
      </c>
      <c r="L5" s="30">
        <v>10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0</v>
      </c>
      <c r="E6" s="24" t="str">
        <f t="shared" ref="E6:E31" si="0">IFERROR(C6/D6,"0%")</f>
        <v>0%</v>
      </c>
      <c r="F6" s="25">
        <f>IFERROR(AVERAGEIFS(Reservas[Avaliação],Reservas[Estado],A6,Reservas[Ano],Ano,Reservas[Mês],Auxiliar!Mes),0)</f>
        <v>0</v>
      </c>
      <c r="H6" s="18" t="s">
        <v>56</v>
      </c>
      <c r="I6" s="37">
        <v>19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>
        <f>COUNTIFS(Reservas[Estado],A10,Reservas[Ano],Auxiliar!Ano,Reservas[Mês],Auxiliar!Mes)</f>
        <v>0</v>
      </c>
      <c r="E10" s="24" t="str">
        <f t="shared" si="0"/>
        <v>0%</v>
      </c>
      <c r="F10" s="25">
        <f>IFERROR(AVERAGEIFS(Reservas[Avaliação],Reservas[Estado],A10,Reservas[Ano],Ano,Reservas[Mês],Auxiliar!Mes),0)</f>
        <v>0</v>
      </c>
      <c r="H10" s="5" t="s">
        <v>59</v>
      </c>
      <c r="I10" s="2" t="s">
        <v>60</v>
      </c>
      <c r="K10" s="26">
        <v>1</v>
      </c>
      <c r="L10" s="17" t="str">
        <f>IF(M10&gt;0,INDEX(Auxiliar!ListaEstados,MATCH(M10,Auxiliar!ListaVendas,0)),"")</f>
        <v>São Paulo</v>
      </c>
      <c r="M10" s="16">
        <f>LARGE(Auxiliar!ListaVendas,K10)</f>
        <v>39091</v>
      </c>
      <c r="N10" s="24">
        <f>IFERROR(VLOOKUP(L10,$A$4:$F$31,5,0),"0%")</f>
        <v>0.38461538461538464</v>
      </c>
    </row>
    <row r="11" spans="1:19">
      <c r="A11" s="17" t="s">
        <v>24</v>
      </c>
      <c r="B11" s="16">
        <f>SUMIFS(Reservas[Valor Total],Reservas[Estado],A11,Reservas[Ano],Ano,Reservas[Mês],Mes)</f>
        <v>11921</v>
      </c>
      <c r="C11" s="20">
        <f>COUNTIFS(Reservas[Estado],A11,Reservas[Ano],Auxiliar!Ano,Reservas[Mês],Auxiliar!Mes,Reservas[Status],"Cancelada")</f>
        <v>0</v>
      </c>
      <c r="D11" s="20">
        <f>COUNTIFS(Reservas[Estado],A11,Reservas[Ano],Auxiliar!Ano,Reservas[Mês],Auxiliar!Mes)</f>
        <v>2</v>
      </c>
      <c r="E11" s="24">
        <f t="shared" si="0"/>
        <v>0</v>
      </c>
      <c r="F11" s="25">
        <f>IFERROR(AVERAGEIFS(Reservas[Avaliação],Reservas[Estado],A11,Reservas[Ano],Ano,Reservas[Mês],Auxiliar!Mes),0)</f>
        <v>4.5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IF(M11&gt;0,INDEX(Auxiliar!ListaEstados,MATCH(M11,Auxiliar!ListaVendas,0)),"")</f>
        <v>Rio de Janeiro</v>
      </c>
      <c r="M11" s="16">
        <f>LARGE(Auxiliar!ListaVendas,K11)</f>
        <v>32535</v>
      </c>
      <c r="N11" s="24">
        <f t="shared" ref="N11:N19" si="1">IFERROR(VLOOKUP(L11,$A$4:$F$31,5,0),"0%")</f>
        <v>0.2</v>
      </c>
    </row>
    <row r="12" spans="1:19">
      <c r="A12" s="17" t="s">
        <v>25</v>
      </c>
      <c r="B12" s="16">
        <f>SUMIFS(Reservas[Valor Total],Reservas[Estado],A12,Reservas[Ano],Ano,Reservas[Mês],Mes)</f>
        <v>16294</v>
      </c>
      <c r="C12" s="20">
        <f>COUNTIFS(Reservas[Estado],A12,Reservas[Ano],Auxiliar!Ano,Reservas[Mês],Auxiliar!Mes,Reservas[Status],"Cancelada")</f>
        <v>2</v>
      </c>
      <c r="D12" s="20">
        <f>COUNTIFS(Reservas[Estado],A12,Reservas[Ano],Auxiliar!Ano,Reservas[Mês],Auxiliar!Mes)</f>
        <v>4</v>
      </c>
      <c r="E12" s="24">
        <f t="shared" si="0"/>
        <v>0.5</v>
      </c>
      <c r="F12" s="25">
        <f>IFERROR(AVERAGEIFS(Reservas[Avaliação],Reservas[Estado],A12,Reservas[Ano],Ano,Reservas[Mês],Auxiliar!Mes),0)</f>
        <v>5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IF(M12&gt;0,INDEX(Auxiliar!ListaEstados,MATCH(M12,Auxiliar!ListaVendas,0)),"")</f>
        <v>Minas Gerais</v>
      </c>
      <c r="M12" s="16">
        <f>LARGE(Auxiliar!ListaVendas,K12)</f>
        <v>18677</v>
      </c>
      <c r="N12" s="24">
        <f t="shared" si="1"/>
        <v>0.5</v>
      </c>
    </row>
    <row r="13" spans="1:19">
      <c r="A13" s="17" t="s">
        <v>26</v>
      </c>
      <c r="B13" s="16">
        <f>SUMIFS(Reservas[Valor Total],Reservas[Estado],A13,Reservas[Ano],Ano,Reservas[Mês],Mes)</f>
        <v>0</v>
      </c>
      <c r="C13" s="20">
        <f>COUNTIFS(Reservas[Estado],A13,Reservas[Ano],Auxiliar!Ano,Reservas[Mês],Auxiliar!Mes,Reservas[Status],"Cancelada")</f>
        <v>0</v>
      </c>
      <c r="D13" s="20">
        <f>COUNTIFS(Reservas[Estado],A13,Reservas[Ano],Auxiliar!Ano,Reservas[Mês],Auxiliar!Mes)</f>
        <v>0</v>
      </c>
      <c r="E13" s="24" t="str">
        <f t="shared" si="0"/>
        <v>0%</v>
      </c>
      <c r="F13" s="25">
        <f>IFERROR(AVERAGEIFS(Reservas[Avaliação],Reservas[Estado],A13,Reservas[Ano],Ano,Reservas[Mês],Auxiliar!Mes),0)</f>
        <v>0</v>
      </c>
      <c r="H13" s="19"/>
      <c r="I13" s="16" t="s">
        <v>63</v>
      </c>
      <c r="K13" s="26">
        <v>4</v>
      </c>
      <c r="L13" s="17" t="str">
        <f>IF(M13&gt;0,INDEX(Auxiliar!ListaEstados,MATCH(M13,Auxiliar!ListaVendas,0)),"")</f>
        <v>Rio Grande do Sul</v>
      </c>
      <c r="M13" s="16">
        <f>LARGE(Auxiliar!ListaVendas,K13)</f>
        <v>17732</v>
      </c>
      <c r="N13" s="24">
        <f t="shared" si="1"/>
        <v>0</v>
      </c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0</v>
      </c>
      <c r="E14" s="24" t="str">
        <f t="shared" si="0"/>
        <v>0%</v>
      </c>
      <c r="F14" s="25">
        <f>IFERROR(AVERAGEIFS(Reservas[Avaliação],Reservas[Estado],A14,Reservas[Ano],Ano,Reservas[Mês],Auxiliar!Mes),0)</f>
        <v>0</v>
      </c>
      <c r="H14" s="19"/>
      <c r="I14" s="16" t="s">
        <v>64</v>
      </c>
      <c r="K14" s="26">
        <v>5</v>
      </c>
      <c r="L14" s="17" t="str">
        <f>IF(M14&gt;0,INDEX(Auxiliar!ListaEstados,MATCH(M14,Auxiliar!ListaVendas,0)),"")</f>
        <v>Espírito Santo</v>
      </c>
      <c r="M14" s="16">
        <f>LARGE(Auxiliar!ListaVendas,K14)</f>
        <v>16294</v>
      </c>
      <c r="N14" s="24">
        <f t="shared" si="1"/>
        <v>0.5</v>
      </c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0</v>
      </c>
      <c r="E15" s="24" t="str">
        <f t="shared" si="0"/>
        <v>0%</v>
      </c>
      <c r="F15" s="25">
        <f>IFERROR(AVERAGEIFS(Reservas[Avaliação],Reservas[Estado],A15,Reservas[Ano],Ano,Reservas[Mês],Auxiliar!Mes),0)</f>
        <v>0</v>
      </c>
      <c r="H15" s="19"/>
      <c r="I15" s="16" t="s">
        <v>65</v>
      </c>
      <c r="K15" s="26">
        <v>6</v>
      </c>
      <c r="L15" s="17" t="str">
        <f>IF(M15&gt;0,INDEX(Auxiliar!ListaEstados,MATCH(M15,Auxiliar!ListaVendas,0)),"")</f>
        <v>Distrito Federal</v>
      </c>
      <c r="M15" s="16">
        <f>LARGE(Auxiliar!ListaVendas,K15)</f>
        <v>11921</v>
      </c>
      <c r="N15" s="24">
        <f t="shared" si="1"/>
        <v>0</v>
      </c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>
        <f>COUNTIFS(Reservas[Estado],A16,Reservas[Ano],Auxiliar!Ano,Reservas[Mês],Auxiliar!Mes,Reservas[Status],"Cancelada")</f>
        <v>0</v>
      </c>
      <c r="D16" s="20">
        <f>COUNTIFS(Reservas[Estado],A16,Reservas[Ano],Auxiliar!Ano,Reservas[Mês],Auxiliar!Mes)</f>
        <v>0</v>
      </c>
      <c r="E16" s="24" t="str">
        <f t="shared" si="0"/>
        <v>0%</v>
      </c>
      <c r="F16" s="25">
        <f>IFERROR(AVERAGEIFS(Reservas[Avaliação],Reservas[Estado],A16,Reservas[Ano],Ano,Reservas[Mês],Auxiliar!Mes),0)</f>
        <v>0</v>
      </c>
      <c r="H16" s="19"/>
      <c r="I16" s="16" t="s">
        <v>66</v>
      </c>
      <c r="K16" s="26">
        <v>7</v>
      </c>
      <c r="L16" s="17" t="str">
        <f>IF(M16&gt;0,INDEX(Auxiliar!ListaEstados,MATCH(M16,Auxiliar!ListaVendas,0)),"")</f>
        <v>Santa Catarina</v>
      </c>
      <c r="M16" s="16">
        <f>LARGE(Auxiliar!ListaVendas,K16)</f>
        <v>7896</v>
      </c>
      <c r="N16" s="24">
        <f t="shared" si="1"/>
        <v>0</v>
      </c>
    </row>
    <row r="17" spans="1:14">
      <c r="A17" s="17" t="s">
        <v>30</v>
      </c>
      <c r="B17" s="16">
        <f>SUMIFS(Reservas[Valor Total],Reservas[Estado],A17,Reservas[Ano],Ano,Reservas[Mês],Mes)</f>
        <v>18677</v>
      </c>
      <c r="C17" s="20">
        <f>COUNTIFS(Reservas[Estado],A17,Reservas[Ano],Auxiliar!Ano,Reservas[Mês],Auxiliar!Mes,Reservas[Status],"Cancelada")</f>
        <v>3</v>
      </c>
      <c r="D17" s="20">
        <f>COUNTIFS(Reservas[Estado],A17,Reservas[Ano],Auxiliar!Ano,Reservas[Mês],Auxiliar!Mes)</f>
        <v>6</v>
      </c>
      <c r="E17" s="24">
        <f t="shared" si="0"/>
        <v>0.5</v>
      </c>
      <c r="F17" s="25">
        <f>IFERROR(AVERAGEIFS(Reservas[Avaliação],Reservas[Estado],A17,Reservas[Ano],Ano,Reservas[Mês],Auxiliar!Mes),0)</f>
        <v>4.833333333333333</v>
      </c>
      <c r="H17" s="19"/>
      <c r="I17" s="16" t="s">
        <v>67</v>
      </c>
      <c r="K17" s="26">
        <v>8</v>
      </c>
      <c r="L17" s="17" t="str">
        <f>IF(M17&gt;0,INDEX(Auxiliar!ListaEstados,MATCH(M17,Auxiliar!ListaVendas,0)),"")</f>
        <v>Pernambuco</v>
      </c>
      <c r="M17" s="16">
        <f>LARGE(Auxiliar!ListaVendas,K17)</f>
        <v>2430</v>
      </c>
      <c r="N17" s="24">
        <f t="shared" si="1"/>
        <v>0</v>
      </c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>
        <f>COUNTIFS(Reservas[Estado],A18,Reservas[Ano],Auxiliar!Ano,Reservas[Mês],Auxiliar!Mes,Reservas[Status],"Cancelada")</f>
        <v>0</v>
      </c>
      <c r="D18" s="20">
        <f>COUNTIFS(Reservas[Estado],A18,Reservas[Ano],Auxiliar!Ano,Reservas[Mês],Auxiliar!Mes)</f>
        <v>0</v>
      </c>
      <c r="E18" s="24" t="str">
        <f t="shared" si="0"/>
        <v>0%</v>
      </c>
      <c r="F18" s="25">
        <f>IFERROR(AVERAGEIFS(Reservas[Avaliação],Reservas[Estado],A18,Reservas[Ano],Ano,Reservas[Mês],Auxiliar!Mes),0)</f>
        <v>0</v>
      </c>
      <c r="H18" s="19"/>
      <c r="I18" s="16" t="s">
        <v>68</v>
      </c>
      <c r="K18" s="26">
        <v>9</v>
      </c>
      <c r="L18" s="17" t="str">
        <f>IF(M18&gt;0,INDEX(Auxiliar!ListaEstados,MATCH(M18,Auxiliar!ListaVendas,0)),"")</f>
        <v/>
      </c>
      <c r="M18" s="16">
        <f>LARGE(Auxiliar!ListaVendas,K18)</f>
        <v>0</v>
      </c>
      <c r="N18" s="24" t="str">
        <f t="shared" si="1"/>
        <v>0%</v>
      </c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0</v>
      </c>
      <c r="E19" s="24" t="str">
        <f t="shared" si="0"/>
        <v>0%</v>
      </c>
      <c r="F19" s="25">
        <f>IFERROR(AVERAGEIFS(Reservas[Avaliação],Reservas[Estado],A19,Reservas[Ano],Ano,Reservas[Mês],Auxiliar!Mes),0)</f>
        <v>0</v>
      </c>
      <c r="H19" s="19"/>
      <c r="I19" s="16" t="s">
        <v>69</v>
      </c>
      <c r="K19" s="26">
        <v>10</v>
      </c>
      <c r="L19" s="17" t="str">
        <f>IF(M19&gt;0,INDEX(Auxiliar!ListaEstados,MATCH(M19,Auxiliar!ListaVendas,0)),"")</f>
        <v/>
      </c>
      <c r="M19" s="16">
        <f>LARGE(Auxiliar!ListaVendas,K19)</f>
        <v>0</v>
      </c>
      <c r="N19" s="24" t="str">
        <f t="shared" si="1"/>
        <v>0%</v>
      </c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0</v>
      </c>
      <c r="E20" s="24" t="str">
        <f t="shared" si="0"/>
        <v>0%</v>
      </c>
      <c r="F20" s="25">
        <f>IFERROR(AVERAGEIFS(Reservas[Avaliação],Reservas[Estado],A20,Reservas[Ano],Ano,Reservas[Mês],Auxiliar!Mes),0)</f>
        <v>0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2430</v>
      </c>
      <c r="C21" s="20">
        <f>COUNTIFS(Reservas[Estado],A21,Reservas[Ano],Auxiliar!Ano,Reservas[Mês],Auxiliar!Mes,Reservas[Status],"Cancelada")</f>
        <v>0</v>
      </c>
      <c r="D21" s="20">
        <f>COUNTIFS(Reservas[Estado],A21,Reservas[Ano],Auxiliar!Ano,Reservas[Mês],Auxiliar!Mes)</f>
        <v>1</v>
      </c>
      <c r="E21" s="24">
        <f t="shared" si="0"/>
        <v>0</v>
      </c>
      <c r="F21" s="25">
        <f>IFERROR(AVERAGEIFS(Reservas[Avaliação],Reservas[Estado],A21,Reservas[Ano],Ano,Reservas[Mês],Auxiliar!Mes),0)</f>
        <v>5</v>
      </c>
      <c r="H21" s="19"/>
      <c r="I21" s="16" t="s">
        <v>71</v>
      </c>
      <c r="K21" s="33" t="str">
        <f>"Análise de Vendas "&amp;Estado</f>
        <v>Análise de Vendas Rio de Janeiro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0</v>
      </c>
      <c r="E22" s="24" t="str">
        <f t="shared" si="0"/>
        <v>0%</v>
      </c>
      <c r="F22" s="25">
        <f>IFERROR(AVERAGEIFS(Reservas[Avaliação],Reservas[Estado],A22,Reservas[Ano],Ano,Reservas[Mês],Auxiliar!Mes),0)</f>
        <v>0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32535</v>
      </c>
      <c r="C23" s="20">
        <f>COUNTIFS(Reservas[Estado],A23,Reservas[Ano],Auxiliar!Ano,Reservas[Mês],Auxiliar!Mes,Reservas[Status],"Cancelada")</f>
        <v>2</v>
      </c>
      <c r="D23" s="20">
        <f>COUNTIFS(Reservas[Estado],A23,Reservas[Ano],Auxiliar!Ano,Reservas[Mês],Auxiliar!Mes)</f>
        <v>10</v>
      </c>
      <c r="E23" s="24">
        <f t="shared" si="0"/>
        <v>0.2</v>
      </c>
      <c r="F23" s="25">
        <f>IFERROR(AVERAGEIFS(Reservas[Avaliação],Reservas[Estado],A23,Reservas[Ano],Ano,Reservas[Mês],Auxiliar!Mes),0)</f>
        <v>4.3</v>
      </c>
      <c r="K23" s="26">
        <v>1</v>
      </c>
      <c r="L23" s="17" t="s">
        <v>80</v>
      </c>
      <c r="M23" s="16">
        <f>SUMIFS(Reservas[Valor Total],Reservas[Estado],Auxiliar!Estado,Reservas[Ano],Auxiliar!Ano,Reservas[Mês],K23)</f>
        <v>3915</v>
      </c>
      <c r="N23" s="20">
        <f>COUNTIFS(Reservas[Estado],Auxiliar!Estado,Reservas[Ano],Ano,Reservas[Mês],K23)</f>
        <v>2</v>
      </c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>
        <f>COUNTIFS(Reservas[Estado],A24,Reservas[Ano],Auxiliar!Ano,Reservas[Mês],Auxiliar!Mes,Reservas[Status],"Cancelada")</f>
        <v>0</v>
      </c>
      <c r="D24" s="20">
        <f>COUNTIFS(Reservas[Estado],A24,Reservas[Ano],Auxiliar!Ano,Reservas[Mês],Auxiliar!Mes)</f>
        <v>0</v>
      </c>
      <c r="E24" s="24" t="str">
        <f t="shared" si="0"/>
        <v>0%</v>
      </c>
      <c r="F24" s="25">
        <f>IFERROR(AVERAGEIFS(Reservas[Avaliação],Reservas[Estado],A24,Reservas[Ano],Ano,Reservas[Mês],Auxiliar!Mes),0)</f>
        <v>0</v>
      </c>
      <c r="H24" s="33" t="s">
        <v>92</v>
      </c>
      <c r="I24" s="33"/>
      <c r="K24" s="26">
        <v>2</v>
      </c>
      <c r="L24" s="17" t="s">
        <v>81</v>
      </c>
      <c r="M24" s="16">
        <f>SUMIFS(Reservas[Valor Total],Reservas[Estado],Auxiliar!Estado,Reservas[Ano],Auxiliar!Ano,Reservas[Mês],K24)</f>
        <v>33513</v>
      </c>
      <c r="N24" s="20">
        <f>COUNTIFS(Reservas[Estado],Auxiliar!Estado,Reservas[Ano],Ano,Reservas[Mês],K24)</f>
        <v>11</v>
      </c>
    </row>
    <row r="25" spans="1:14">
      <c r="A25" s="17" t="s">
        <v>38</v>
      </c>
      <c r="B25" s="16">
        <f>SUMIFS(Reservas[Valor Total],Reservas[Estado],A25,Reservas[Ano],Ano,Reservas[Mês],Mes)</f>
        <v>17732</v>
      </c>
      <c r="C25" s="20">
        <f>COUNTIFS(Reservas[Estado],A25,Reservas[Ano],Auxiliar!Ano,Reservas[Mês],Auxiliar!Mes,Reservas[Status],"Cancelada")</f>
        <v>0</v>
      </c>
      <c r="D25" s="20">
        <f>COUNTIFS(Reservas[Estado],A25,Reservas[Ano],Auxiliar!Ano,Reservas[Mês],Auxiliar!Mes)</f>
        <v>2</v>
      </c>
      <c r="E25" s="24">
        <f t="shared" si="0"/>
        <v>0</v>
      </c>
      <c r="F25" s="25">
        <f>IFERROR(AVERAGEIFS(Reservas[Avaliação],Reservas[Estado],A25,Reservas[Ano],Ano,Reservas[Mês],Auxiliar!Mes),0)</f>
        <v>4.5</v>
      </c>
      <c r="H25" s="27" t="s">
        <v>0</v>
      </c>
      <c r="I25" s="16">
        <f>SUMIFS(Reservas[Valor Total], Reservas[Ano],Auxiliar!Ano,Reservas[Mês],Auxiliar!Mes,Reservas[Vendedor],H25)</f>
        <v>38668</v>
      </c>
      <c r="K25" s="26">
        <v>3</v>
      </c>
      <c r="L25" s="17" t="s">
        <v>82</v>
      </c>
      <c r="M25" s="16">
        <f>SUMIFS(Reservas[Valor Total],Reservas[Estado],Auxiliar!Estado,Reservas[Ano],Auxiliar!Ano,Reservas[Mês],K25)</f>
        <v>3635</v>
      </c>
      <c r="N25" s="20">
        <f>COUNTIFS(Reservas[Estado],Auxiliar!Estado,Reservas[Ano],Ano,Reservas[Mês],K25)</f>
        <v>2</v>
      </c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0</v>
      </c>
      <c r="E26" s="24" t="str">
        <f t="shared" si="0"/>
        <v>0%</v>
      </c>
      <c r="F26" s="25">
        <f>IFERROR(AVERAGEIFS(Reservas[Avaliação],Reservas[Estado],A26,Reservas[Ano],Ano,Reservas[Mês],Auxiliar!Mes),0)</f>
        <v>0</v>
      </c>
      <c r="H26" s="27" t="s">
        <v>1</v>
      </c>
      <c r="I26" s="16">
        <f>SUMIFS(Reservas[Valor Total], Reservas[Ano],Auxiliar!Ano,Reservas[Mês],Auxiliar!Mes,Reservas[Vendedor],H26)</f>
        <v>38673</v>
      </c>
      <c r="K26" s="26">
        <v>4</v>
      </c>
      <c r="L26" s="17" t="s">
        <v>83</v>
      </c>
      <c r="M26" s="16">
        <f>SUMIFS(Reservas[Valor Total],Reservas[Estado],Auxiliar!Estado,Reservas[Ano],Auxiliar!Ano,Reservas[Mês],K26)</f>
        <v>48244</v>
      </c>
      <c r="N26" s="20">
        <f>COUNTIFS(Reservas[Estado],Auxiliar!Estado,Reservas[Ano],Ano,Reservas[Mês],K26)</f>
        <v>11</v>
      </c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0</v>
      </c>
      <c r="E27" s="24" t="str">
        <f t="shared" si="0"/>
        <v>0%</v>
      </c>
      <c r="F27" s="25">
        <f>IFERROR(AVERAGEIFS(Reservas[Avaliação],Reservas[Estado],A27,Reservas[Ano],Ano,Reservas[Mês],Auxiliar!Mes),0)</f>
        <v>0</v>
      </c>
      <c r="H27" s="27" t="s">
        <v>2</v>
      </c>
      <c r="I27" s="16">
        <f>SUMIFS(Reservas[Valor Total], Reservas[Ano],Auxiliar!Ano,Reservas[Mês],Auxiliar!Mes,Reservas[Vendedor],H27)</f>
        <v>33094</v>
      </c>
      <c r="K27" s="26">
        <v>5</v>
      </c>
      <c r="L27" s="17" t="s">
        <v>84</v>
      </c>
      <c r="M27" s="16">
        <f>SUMIFS(Reservas[Valor Total],Reservas[Estado],Auxiliar!Estado,Reservas[Ano],Auxiliar!Ano,Reservas[Mês],K27)</f>
        <v>4510</v>
      </c>
      <c r="N27" s="20">
        <f>COUNTIFS(Reservas[Estado],Auxiliar!Estado,Reservas[Ano],Ano,Reservas[Mês],K27)</f>
        <v>2</v>
      </c>
    </row>
    <row r="28" spans="1:14">
      <c r="A28" s="17" t="s">
        <v>41</v>
      </c>
      <c r="B28" s="16">
        <f>SUMIFS(Reservas[Valor Total],Reservas[Estado],A28,Reservas[Ano],Ano,Reservas[Mês],Mes)</f>
        <v>7896</v>
      </c>
      <c r="C28" s="20">
        <f>COUNTIFS(Reservas[Estado],A28,Reservas[Ano],Auxiliar!Ano,Reservas[Mês],Auxiliar!Mes,Reservas[Status],"Cancelada")</f>
        <v>0</v>
      </c>
      <c r="D28" s="20">
        <f>COUNTIFS(Reservas[Estado],A28,Reservas[Ano],Auxiliar!Ano,Reservas[Mês],Auxiliar!Mes)</f>
        <v>1</v>
      </c>
      <c r="E28" s="24">
        <f t="shared" si="0"/>
        <v>0</v>
      </c>
      <c r="F28" s="25">
        <f>IFERROR(AVERAGEIFS(Reservas[Avaliação],Reservas[Estado],A28,Reservas[Ano],Ano,Reservas[Mês],Auxiliar!Mes),0)</f>
        <v>5</v>
      </c>
      <c r="H28" s="27" t="s">
        <v>3</v>
      </c>
      <c r="I28" s="16">
        <f>SUMIFS(Reservas[Valor Total], Reservas[Ano],Auxiliar!Ano,Reservas[Mês],Auxiliar!Mes,Reservas[Vendedor],H28)</f>
        <v>36141</v>
      </c>
      <c r="K28" s="26">
        <v>6</v>
      </c>
      <c r="L28" s="17" t="s">
        <v>85</v>
      </c>
      <c r="M28" s="16">
        <f>SUMIFS(Reservas[Valor Total],Reservas[Estado],Auxiliar!Estado,Reservas[Ano],Auxiliar!Ano,Reservas[Mês],K28)</f>
        <v>33470</v>
      </c>
      <c r="N28" s="20">
        <f>COUNTIFS(Reservas[Estado],Auxiliar!Estado,Reservas[Ano],Ano,Reservas[Mês],K28)</f>
        <v>10</v>
      </c>
    </row>
    <row r="29" spans="1:14">
      <c r="A29" s="17" t="s">
        <v>42</v>
      </c>
      <c r="B29" s="16">
        <f>SUMIFS(Reservas[Valor Total],Reservas[Estado],A29,Reservas[Ano],Ano,Reservas[Mês],Mes)</f>
        <v>39091</v>
      </c>
      <c r="C29" s="20">
        <f>COUNTIFS(Reservas[Estado],A29,Reservas[Ano],Auxiliar!Ano,Reservas[Mês],Auxiliar!Mes,Reservas[Status],"Cancelada")</f>
        <v>5</v>
      </c>
      <c r="D29" s="20">
        <f>COUNTIFS(Reservas[Estado],A29,Reservas[Ano],Auxiliar!Ano,Reservas[Mês],Auxiliar!Mes)</f>
        <v>13</v>
      </c>
      <c r="E29" s="24">
        <f t="shared" si="0"/>
        <v>0.38461538461538464</v>
      </c>
      <c r="F29" s="25">
        <f>IFERROR(AVERAGEIFS(Reservas[Avaliação],Reservas[Estado],A29,Reservas[Ano],Ano,Reservas[Mês],Auxiliar!Mes),0)</f>
        <v>4.615384615384615</v>
      </c>
      <c r="K29" s="26">
        <v>7</v>
      </c>
      <c r="L29" s="17" t="s">
        <v>86</v>
      </c>
      <c r="M29" s="16">
        <f>SUMIFS(Reservas[Valor Total],Reservas[Estado],Auxiliar!Estado,Reservas[Ano],Auxiliar!Ano,Reservas[Mês],K29)</f>
        <v>2345</v>
      </c>
      <c r="N29" s="20">
        <f>COUNTIFS(Reservas[Estado],Auxiliar!Estado,Reservas[Ano],Ano,Reservas[Mês],K29)</f>
        <v>1</v>
      </c>
    </row>
    <row r="30" spans="1:14">
      <c r="A30" s="17" t="s">
        <v>43</v>
      </c>
      <c r="B30" s="16">
        <f>SUMIFS(Reservas[Valor Total],Reservas[Estado],A30,Reservas[Ano],Ano,Reservas[Mês],Mes)</f>
        <v>0</v>
      </c>
      <c r="C30" s="20">
        <f>COUNTIFS(Reservas[Estado],A30,Reservas[Ano],Auxiliar!Ano,Reservas[Mês],Auxiliar!Mes,Reservas[Status],"Cancelada")</f>
        <v>0</v>
      </c>
      <c r="D30" s="20">
        <f>COUNTIFS(Reservas[Estado],A30,Reservas[Ano],Auxiliar!Ano,Reservas[Mês],Auxiliar!Mes)</f>
        <v>0</v>
      </c>
      <c r="E30" s="24" t="str">
        <f t="shared" si="0"/>
        <v>0%</v>
      </c>
      <c r="F30" s="25">
        <f>IFERROR(AVERAGEIFS(Reservas[Avaliação],Reservas[Estado],A30,Reservas[Ano],Ano,Reservas[Mês],Auxiliar!Mes),0)</f>
        <v>0</v>
      </c>
      <c r="H30" s="33" t="s">
        <v>95</v>
      </c>
      <c r="I30" s="33"/>
      <c r="K30" s="26">
        <v>8</v>
      </c>
      <c r="L30" s="17" t="s">
        <v>87</v>
      </c>
      <c r="M30" s="16">
        <f>SUMIFS(Reservas[Valor Total],Reservas[Estado],Auxiliar!Estado,Reservas[Ano],Auxiliar!Ano,Reservas[Mês],K30)</f>
        <v>26160</v>
      </c>
      <c r="N30" s="20">
        <f>COUNTIFS(Reservas[Estado],Auxiliar!Estado,Reservas[Ano],Ano,Reservas[Mês],K30)</f>
        <v>9</v>
      </c>
    </row>
    <row r="31" spans="1:14">
      <c r="A31" s="17" t="s">
        <v>44</v>
      </c>
      <c r="B31" s="16">
        <f>SUMIFS(Reservas[Valor Total],Reservas[Estado],A31,Reservas[Ano],Ano,Reservas[Mês],Mes)</f>
        <v>0</v>
      </c>
      <c r="C31" s="20">
        <f>COUNTIFS(Reservas[Estado],A31,Reservas[Ano],Auxiliar!Ano,Reservas[Mês],Auxiliar!Mes,Reservas[Status],"Cancelada")</f>
        <v>0</v>
      </c>
      <c r="D31" s="20">
        <f>COUNTIFS(Reservas[Estado],A31,Reservas[Ano],Auxiliar!Ano,Reservas[Mês],Auxiliar!Mes)</f>
        <v>0</v>
      </c>
      <c r="E31" s="24" t="str">
        <f t="shared" si="0"/>
        <v>0%</v>
      </c>
      <c r="F31" s="25">
        <f>IFERROR(AVERAGEIFS(Reservas[Avaliação],Reservas[Estado],A31,Reservas[Ano],Ano,Reservas[Mês],Auxiliar!Mes),0)</f>
        <v>0</v>
      </c>
      <c r="H31" s="27" t="s">
        <v>0</v>
      </c>
      <c r="I31" s="16">
        <f>SUMIFS(Reservas[Comissão], Reservas[Ano],Auxiliar!Ano,Reservas[Mês],Auxiliar!Mes,Reservas[Vendedor],H31)</f>
        <v>1933.3999999999999</v>
      </c>
      <c r="K31" s="26">
        <v>9</v>
      </c>
      <c r="L31" s="17" t="s">
        <v>88</v>
      </c>
      <c r="M31" s="16">
        <f>SUMIFS(Reservas[Valor Total],Reservas[Estado],Auxiliar!Estado,Reservas[Ano],Auxiliar!Ano,Reservas[Mês],K31)</f>
        <v>16373</v>
      </c>
      <c r="N31" s="20">
        <f>COUNTIFS(Reservas[Estado],Auxiliar!Estado,Reservas[Ano],Ano,Reservas[Mês],K31)</f>
        <v>4</v>
      </c>
    </row>
    <row r="32" spans="1:14">
      <c r="H32" s="27" t="s">
        <v>1</v>
      </c>
      <c r="I32" s="16">
        <f>SUMIFS(Reservas[Comissão], Reservas[Ano],Auxiliar!Ano,Reservas[Mês],Auxiliar!Mes,Reservas[Vendedor],H32)</f>
        <v>1933.65</v>
      </c>
      <c r="K32" s="26">
        <v>10</v>
      </c>
      <c r="L32" s="17" t="s">
        <v>89</v>
      </c>
      <c r="M32" s="16">
        <f>SUMIFS(Reservas[Valor Total],Reservas[Estado],Auxiliar!Estado,Reservas[Ano],Auxiliar!Ano,Reservas[Mês],K32)</f>
        <v>32535</v>
      </c>
      <c r="N32" s="20">
        <f>COUNTIFS(Reservas[Estado],Auxiliar!Estado,Reservas[Ano],Ano,Reservas[Mês],K32)</f>
        <v>10</v>
      </c>
    </row>
    <row r="33" spans="8:14">
      <c r="H33" s="27" t="s">
        <v>2</v>
      </c>
      <c r="I33" s="16">
        <f>SUMIFS(Reservas[Comissão], Reservas[Ano],Auxiliar!Ano,Reservas[Mês],Auxiliar!Mes,Reservas[Vendedor],H33)</f>
        <v>1654.7</v>
      </c>
      <c r="K33" s="26">
        <v>11</v>
      </c>
      <c r="L33" s="17" t="s">
        <v>90</v>
      </c>
      <c r="M33" s="16">
        <f>SUMIFS(Reservas[Valor Total],Reservas[Estado],Auxiliar!Estado,Reservas[Ano],Auxiliar!Ano,Reservas[Mês],K33)</f>
        <v>6100</v>
      </c>
      <c r="N33" s="20">
        <f>COUNTIFS(Reservas[Estado],Auxiliar!Estado,Reservas[Ano],Ano,Reservas[Mês],K33)</f>
        <v>3</v>
      </c>
    </row>
    <row r="34" spans="8:14">
      <c r="H34" s="27" t="s">
        <v>3</v>
      </c>
      <c r="I34" s="16">
        <f>SUMIFS(Reservas[Comissão], Reservas[Ano],Auxiliar!Ano,Reservas[Mês],Auxiliar!Mes,Reservas[Vendedor],H34)</f>
        <v>1807.05</v>
      </c>
      <c r="K34" s="26">
        <v>12</v>
      </c>
      <c r="L34" s="17" t="s">
        <v>91</v>
      </c>
      <c r="M34" s="16">
        <f>SUMIFS(Reservas[Valor Total],Reservas[Estado],Auxiliar!Estado,Reservas[Ano],Auxiliar!Ano,Reservas[Mês],K34)</f>
        <v>21510</v>
      </c>
      <c r="N34" s="20">
        <f>COUNTIFS(Reservas[Estado],Auxiliar!Estado,Reservas[Ano],Ano,Reservas[Mês],K34)</f>
        <v>6</v>
      </c>
    </row>
    <row r="36" spans="8:14">
      <c r="H36" s="33" t="s">
        <v>96</v>
      </c>
      <c r="I36" s="33"/>
    </row>
    <row r="37" spans="8:14">
      <c r="H37" s="27" t="s">
        <v>46</v>
      </c>
      <c r="I37" s="16">
        <f>SUMIFS(Reservas[Valor Total], Reservas[Ano],Auxiliar!Ano,Reservas[Mês],Auxiliar!Mes,Reservas[Forma Pagamento],H37)</f>
        <v>106988</v>
      </c>
    </row>
    <row r="38" spans="8:14">
      <c r="H38" s="27" t="s">
        <v>47</v>
      </c>
      <c r="I38" s="16">
        <f>SUMIFS(Reservas[Valor Total], Reservas[Ano],Auxiliar!Ano,Reservas[Mês],Auxiliar!Mes,Reservas[Forma Pagamento],H38)</f>
        <v>21993</v>
      </c>
    </row>
    <row r="39" spans="8:14">
      <c r="H39" s="27" t="s">
        <v>48</v>
      </c>
      <c r="I39" s="16">
        <f>SUMIFS(Reservas[Valor Total], Reservas[Ano],Auxiliar!Ano,Reservas[Mês],Auxiliar!Mes,Reservas[Forma Pagamento],H39)</f>
        <v>17595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tabSelected="1" zoomScaleNormal="100" workbookViewId="0">
      <selection activeCell="L27" sqref="L27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2023-10-20T22:06:12Z</dcterms:modified>
</cp:coreProperties>
</file>