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 Silva\Desktop\VAmos tarea\"/>
    </mc:Choice>
  </mc:AlternateContent>
  <bookViews>
    <workbookView xWindow="0" yWindow="0" windowWidth="20490" windowHeight="7740"/>
  </bookViews>
  <sheets>
    <sheet name="Hoja1" sheetId="1" r:id="rId1"/>
    <sheet name="Hoja2" sheetId="2" r:id="rId2"/>
    <sheet name="Hoja3" sheetId="3" r:id="rId3"/>
  </sheets>
  <calcPr calcId="152511" concurrentCalc="0"/>
</workbook>
</file>

<file path=xl/calcChain.xml><?xml version="1.0" encoding="utf-8"?>
<calcChain xmlns="http://schemas.openxmlformats.org/spreadsheetml/2006/main">
  <c r="B75" i="1" l="1"/>
  <c r="E7" i="1"/>
  <c r="E8" i="1"/>
  <c r="E5" i="1"/>
  <c r="E6" i="1"/>
  <c r="E4" i="1"/>
  <c r="E9" i="1"/>
  <c r="B23" i="1"/>
  <c r="E22" i="1"/>
  <c r="B24" i="1"/>
  <c r="L3" i="1"/>
  <c r="O3" i="1"/>
  <c r="L6" i="1"/>
  <c r="H17" i="1"/>
  <c r="H14" i="1"/>
  <c r="H15" i="1"/>
  <c r="H16" i="1"/>
  <c r="H18" i="1"/>
  <c r="H19" i="1"/>
  <c r="E20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L7" i="1"/>
  <c r="O4" i="1"/>
  <c r="H62" i="1"/>
  <c r="I39" i="1"/>
  <c r="L89" i="1"/>
  <c r="L88" i="1"/>
  <c r="L87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49" i="1"/>
  <c r="L50" i="1"/>
  <c r="L48" i="1"/>
  <c r="L47" i="1"/>
  <c r="L46" i="1"/>
  <c r="L45" i="1"/>
  <c r="K41" i="1"/>
  <c r="K40" i="1"/>
  <c r="K39" i="1"/>
  <c r="K38" i="1"/>
  <c r="K37" i="1"/>
  <c r="P30" i="1"/>
  <c r="O30" i="1"/>
  <c r="N30" i="1"/>
  <c r="M30" i="1"/>
  <c r="L30" i="1"/>
  <c r="I38" i="1"/>
  <c r="I37" i="1"/>
  <c r="I36" i="1"/>
  <c r="I35" i="1"/>
  <c r="I34" i="1"/>
  <c r="I33" i="1"/>
  <c r="B27" i="1"/>
  <c r="B64" i="1"/>
  <c r="I40" i="1"/>
  <c r="B63" i="1"/>
  <c r="B21" i="1"/>
  <c r="B71" i="1"/>
  <c r="B28" i="1"/>
  <c r="B29" i="1"/>
  <c r="B70" i="1"/>
  <c r="B69" i="1"/>
  <c r="B74" i="1"/>
</calcChain>
</file>

<file path=xl/sharedStrings.xml><?xml version="1.0" encoding="utf-8"?>
<sst xmlns="http://schemas.openxmlformats.org/spreadsheetml/2006/main" count="468" uniqueCount="418">
  <si>
    <t>Entrada</t>
  </si>
  <si>
    <t>Salida</t>
  </si>
  <si>
    <t>Consultas</t>
  </si>
  <si>
    <t>Fichero Lógico</t>
  </si>
  <si>
    <t>Interfaz</t>
  </si>
  <si>
    <t>Alta</t>
  </si>
  <si>
    <t>Media</t>
  </si>
  <si>
    <t>Baja</t>
  </si>
  <si>
    <t>Total</t>
  </si>
  <si>
    <t>Factores de Escala</t>
  </si>
  <si>
    <t>Cálculo de puntos de función sin ajustar</t>
  </si>
  <si>
    <t>Precedencia (PREC)</t>
  </si>
  <si>
    <t>Precedencia (FLEX)</t>
  </si>
  <si>
    <t>Muy bajo</t>
  </si>
  <si>
    <t>Bajo</t>
  </si>
  <si>
    <t>Nominal</t>
  </si>
  <si>
    <t>Resolución de riesgos(RESL)</t>
  </si>
  <si>
    <t>Cohesión de equipos(TEAM)</t>
  </si>
  <si>
    <t>Madurez del proceso(PMAT)</t>
  </si>
  <si>
    <t>Alto</t>
  </si>
  <si>
    <t>Muy Alto</t>
  </si>
  <si>
    <t>Extra Alto</t>
  </si>
  <si>
    <t>e =</t>
  </si>
  <si>
    <t>Multiplicadores de Esfuerzo, Modelo Anticipado</t>
  </si>
  <si>
    <t>RCPX</t>
  </si>
  <si>
    <t>RUSE</t>
  </si>
  <si>
    <t>PDIF</t>
  </si>
  <si>
    <t>PERS</t>
  </si>
  <si>
    <t>PREX</t>
  </si>
  <si>
    <t>FCIL</t>
  </si>
  <si>
    <t>SCED</t>
  </si>
  <si>
    <t>Extra Bajo</t>
  </si>
  <si>
    <t>Muy Bajo</t>
  </si>
  <si>
    <t>Multiplicadores de Esfuerzo,Modelo Post Arquitectura</t>
  </si>
  <si>
    <t>RELY</t>
  </si>
  <si>
    <t>DATA</t>
  </si>
  <si>
    <t>CPLX</t>
  </si>
  <si>
    <t>DOCU</t>
  </si>
  <si>
    <t>TIME</t>
  </si>
  <si>
    <t>STOR</t>
  </si>
  <si>
    <t>PVOL</t>
  </si>
  <si>
    <t>ACAP</t>
  </si>
  <si>
    <t>PCAP</t>
  </si>
  <si>
    <t>PCON</t>
  </si>
  <si>
    <t>AEXP</t>
  </si>
  <si>
    <t>PEXP</t>
  </si>
  <si>
    <t>LTEX</t>
  </si>
  <si>
    <t>TOOL</t>
  </si>
  <si>
    <t>SITE</t>
  </si>
  <si>
    <t>SFj, j = 1..5</t>
  </si>
  <si>
    <t>P anticipado</t>
  </si>
  <si>
    <t>Tiempo de desarrollo  (TDEV)</t>
  </si>
  <si>
    <t xml:space="preserve">B </t>
  </si>
  <si>
    <t>Cantidad de personas (Staff)</t>
  </si>
  <si>
    <t>P post arquitectura</t>
  </si>
  <si>
    <t xml:space="preserve">SCED % </t>
  </si>
  <si>
    <t>Esfuerzo expresado en Meses-Personas (MP)</t>
  </si>
  <si>
    <t>TDEV anticipado</t>
  </si>
  <si>
    <t>TDEV post arquitectura</t>
  </si>
  <si>
    <t>Leng ( depende del lenguaje usado)</t>
  </si>
  <si>
    <t>A =</t>
  </si>
  <si>
    <t>Estimación de Esfuerzo</t>
  </si>
  <si>
    <t>MM nominal</t>
  </si>
  <si>
    <t>MM anticipado</t>
  </si>
  <si>
    <t>MM post arquitectura</t>
  </si>
  <si>
    <t>Mantenimiento</t>
  </si>
  <si>
    <t xml:space="preserve">MP post arquitectura </t>
  </si>
  <si>
    <t>MP anticipado</t>
  </si>
  <si>
    <t>Escala de valoración para el incremento de comprensión  del software (SU)</t>
  </si>
  <si>
    <t>Estructura</t>
  </si>
  <si>
    <t>Normal</t>
  </si>
  <si>
    <t>Muy baja</t>
  </si>
  <si>
    <t>cohesión alta ,</t>
  </si>
  <si>
    <t>código</t>
  </si>
  <si>
    <t>“spaghetti”</t>
  </si>
  <si>
    <t>Cohesión</t>
  </si>
  <si>
    <t>moderadamente</t>
  </si>
  <si>
    <t>baja, Alto</t>
  </si>
  <si>
    <t>acoplamiento</t>
  </si>
  <si>
    <t>Razonadamente</t>
  </si>
  <si>
    <t>bien</t>
  </si>
  <si>
    <t>estructurado;</t>
  </si>
  <si>
    <t>algunas áreas</t>
  </si>
  <si>
    <t>débiles</t>
  </si>
  <si>
    <t>Alta cohesión,</t>
  </si>
  <si>
    <t>Fuerte</t>
  </si>
  <si>
    <t>modularidad,</t>
  </si>
  <si>
    <t>información</t>
  </si>
  <si>
    <t>oculta en</t>
  </si>
  <si>
    <t>estructuras de</t>
  </si>
  <si>
    <t>datos/control</t>
  </si>
  <si>
    <t>UFP</t>
  </si>
  <si>
    <t>Claridad de</t>
  </si>
  <si>
    <t>Aplicación</t>
  </si>
  <si>
    <t>No ajuste entre</t>
  </si>
  <si>
    <t>programa y</t>
  </si>
  <si>
    <t>aplicación</t>
  </si>
  <si>
    <t>Alguna</t>
  </si>
  <si>
    <t>correlación entre</t>
  </si>
  <si>
    <t>Correlación</t>
  </si>
  <si>
    <t>moderada entre</t>
  </si>
  <si>
    <t>Buena</t>
  </si>
  <si>
    <t>Claro ajuste</t>
  </si>
  <si>
    <t>entre programa</t>
  </si>
  <si>
    <t>y aplicación</t>
  </si>
  <si>
    <t>vistas-globales</t>
  </si>
  <si>
    <t>Descriptividad</t>
  </si>
  <si>
    <t>propia</t>
  </si>
  <si>
    <t>Código confuso;</t>
  </si>
  <si>
    <t>documentación</t>
  </si>
  <si>
    <t>perdida, confusa</t>
  </si>
  <si>
    <t>u obsoleta</t>
  </si>
  <si>
    <t>Algún</t>
  </si>
  <si>
    <t>comentario de</t>
  </si>
  <si>
    <t>código y</t>
  </si>
  <si>
    <t>cabeceras;</t>
  </si>
  <si>
    <t>alguna</t>
  </si>
  <si>
    <t>Nivel moderado</t>
  </si>
  <si>
    <t>en comentarios</t>
  </si>
  <si>
    <t>de código,</t>
  </si>
  <si>
    <t>cabeceras,</t>
  </si>
  <si>
    <t>documentaciones</t>
  </si>
  <si>
    <t>Buen comentario</t>
  </si>
  <si>
    <t>en código y</t>
  </si>
  <si>
    <t>cabeceras ;</t>
  </si>
  <si>
    <t>útil; algunas</t>
  </si>
  <si>
    <t>áreas débiles</t>
  </si>
  <si>
    <t>Código</t>
  </si>
  <si>
    <t>descriptivo por</t>
  </si>
  <si>
    <t>si mismo;</t>
  </si>
  <si>
    <t>actualizada;</t>
  </si>
  <si>
    <t>bien-organizada,</t>
  </si>
  <si>
    <t>con diseño</t>
  </si>
  <si>
    <t>racional</t>
  </si>
  <si>
    <t>Incremento de</t>
  </si>
  <si>
    <t>SU a ESLOC</t>
  </si>
  <si>
    <t>Escala de valoración para el desconocimiento del programador (UNFM)</t>
  </si>
  <si>
    <t>Incremento UNFM</t>
  </si>
  <si>
    <t>Nivel de desconocimiento</t>
  </si>
  <si>
    <t>completamente conocido</t>
  </si>
  <si>
    <t>bastante conocido</t>
  </si>
  <si>
    <t>algo conocido</t>
  </si>
  <si>
    <t>considerablemente desconocido</t>
  </si>
  <si>
    <t>bastante desconocido</t>
  </si>
  <si>
    <t>completamente desconocido</t>
  </si>
  <si>
    <t>Ada</t>
  </si>
  <si>
    <t>Al Shell</t>
  </si>
  <si>
    <t>APL</t>
  </si>
  <si>
    <t>Assembly</t>
  </si>
  <si>
    <t>Assembly(macro)</t>
  </si>
  <si>
    <t>ANSI/Quick/Turbo Basic</t>
  </si>
  <si>
    <t>Basic-Compiled</t>
  </si>
  <si>
    <t>Basic Interpreted</t>
  </si>
  <si>
    <t>C</t>
  </si>
  <si>
    <t>C++</t>
  </si>
  <si>
    <t>Visual Basic</t>
  </si>
  <si>
    <t>ANSI Cobol 85</t>
  </si>
  <si>
    <t>Fortran 77</t>
  </si>
  <si>
    <t>Forth</t>
  </si>
  <si>
    <t>Jovial</t>
  </si>
  <si>
    <t>Lisp</t>
  </si>
  <si>
    <t>Modula 2</t>
  </si>
  <si>
    <t>Pascal</t>
  </si>
  <si>
    <t>Prolog</t>
  </si>
  <si>
    <t>Report  Generator</t>
  </si>
  <si>
    <t>Spreadsheet</t>
  </si>
  <si>
    <t>Base Code Size</t>
  </si>
  <si>
    <t>Size added</t>
  </si>
  <si>
    <t>Size modified</t>
  </si>
  <si>
    <t>MCF</t>
  </si>
  <si>
    <t xml:space="preserve">Size M </t>
  </si>
  <si>
    <t>MM mantenimiento</t>
  </si>
  <si>
    <t xml:space="preserve">B = </t>
  </si>
  <si>
    <t>Total SU</t>
  </si>
  <si>
    <t xml:space="preserve">MAF </t>
  </si>
  <si>
    <t>Emi Ant.</t>
  </si>
  <si>
    <t>Emi Post</t>
  </si>
  <si>
    <t>Puntos de Casos de Uso sin Ajustar (UUCP)</t>
  </si>
  <si>
    <t>Tipo de Actor</t>
  </si>
  <si>
    <t>Descripción</t>
  </si>
  <si>
    <t>Simple</t>
  </si>
  <si>
    <t>Medio</t>
  </si>
  <si>
    <t>Complejo</t>
  </si>
  <si>
    <t>Completo</t>
  </si>
  <si>
    <t>Otro sistema que interactúa con el sistema a desarrollar mediante una interfaz de programación (API).</t>
  </si>
  <si>
    <t>Otro sistema interactuando a través de un protocolo (ej. TCP/IP) o una persona interactuando a través de una interfaz en modo texto.</t>
  </si>
  <si>
    <t>Una persona que interactúa con el sistema mediante una interfaz gráfica (GUI).</t>
  </si>
  <si>
    <t>Factor</t>
  </si>
  <si>
    <t xml:space="preserve"> Sum(cantidadDeUnTipoDeActor*Factor)</t>
  </si>
  <si>
    <t xml:space="preserve">UAW = </t>
  </si>
  <si>
    <t>Peso de los actores sin ajustar (UAW)</t>
  </si>
  <si>
    <t xml:space="preserve">Peso de las transacciones </t>
  </si>
  <si>
    <t>Tipo de caso de uso</t>
  </si>
  <si>
    <t xml:space="preserve">Simple </t>
  </si>
  <si>
    <t>3 transacciones o menos</t>
  </si>
  <si>
    <t>4 a 7 transacciones</t>
  </si>
  <si>
    <t>más de 7 transacciones</t>
  </si>
  <si>
    <t>Peso de las clases de análisis</t>
  </si>
  <si>
    <t>menos de 5 clases</t>
  </si>
  <si>
    <t>5 a 10 clases</t>
  </si>
  <si>
    <t xml:space="preserve">más de 10 clases </t>
  </si>
  <si>
    <t>Peso de los casos de uso sin ajustar (UUCW)</t>
  </si>
  <si>
    <t>UAW + UUCW</t>
  </si>
  <si>
    <t>UUCP =</t>
  </si>
  <si>
    <r>
      <rPr>
        <b/>
        <sz val="11"/>
        <color rgb="FF252525"/>
        <rFont val="Calibri"/>
        <family val="2"/>
        <scheme val="minor"/>
      </rPr>
      <t>UUCW =</t>
    </r>
    <r>
      <rPr>
        <sz val="11"/>
        <color rgb="FF252525"/>
        <rFont val="Calibri"/>
        <family val="2"/>
        <scheme val="minor"/>
      </rPr>
      <t xml:space="preserve"> Sum (CantidadDeUnTipoDeCasoUso*Factor) </t>
    </r>
  </si>
  <si>
    <t>Puntos de caso de uso ajustados (UCP)</t>
  </si>
  <si>
    <t>puntos de casos de uso sin ajustar</t>
  </si>
  <si>
    <t>UUCP :</t>
  </si>
  <si>
    <t>UAW:</t>
  </si>
  <si>
    <t>factor de peso de los actores sin ajustar</t>
  </si>
  <si>
    <t>UUAW:</t>
  </si>
  <si>
    <t>factor de peso de los casos de uso sin ajustar</t>
  </si>
  <si>
    <t>UUCP * TCF* EF</t>
  </si>
  <si>
    <t xml:space="preserve">UCP: </t>
  </si>
  <si>
    <t>puntos de casos de uso ajustados</t>
  </si>
  <si>
    <t>UUCP:</t>
  </si>
  <si>
    <t>TCF:</t>
  </si>
  <si>
    <t>EF:</t>
  </si>
  <si>
    <t>factores técnicos</t>
  </si>
  <si>
    <t>factores ambientales</t>
  </si>
  <si>
    <t xml:space="preserve">UCP =  </t>
  </si>
  <si>
    <t>Factores de complejidad técnicas</t>
  </si>
  <si>
    <t xml:space="preserve">Descripción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</si>
  <si>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</si>
  <si>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</si>
  <si>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</si>
  <si>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</si>
  <si>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</si>
  <si>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</si>
  <si>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</si>
  <si>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</si>
  <si>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</si>
  <si>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</si>
  <si>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</si>
  <si>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</si>
  <si>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</si>
  <si>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Sistema distribuido.</t>
  </si>
  <si>
    <t>Objetivos de performance o tiempo de respuesta.</t>
  </si>
  <si>
    <t>Eficiencia del usuario final.</t>
  </si>
  <si>
    <t>Procesamiento interno complejo.</t>
  </si>
  <si>
    <t>El código debe ser reutilizable.</t>
  </si>
  <si>
    <t>Facilidad de instalación.</t>
  </si>
  <si>
    <t>Facilidad de uso</t>
  </si>
  <si>
    <t>Portabilidad</t>
  </si>
  <si>
    <t>Facilidad de cambio.</t>
  </si>
  <si>
    <t>Concurrencia.</t>
  </si>
  <si>
    <t>Incluye objetivos especiales de seguridad.</t>
  </si>
  <si>
    <t>Provee acceso directo a terceras partes.</t>
  </si>
  <si>
    <t>Se requiere facilidades especiales de entrenamiento a usuario</t>
  </si>
  <si>
    <t>Peso</t>
  </si>
  <si>
    <t>Escala de los valores de complejidad técnica</t>
  </si>
  <si>
    <t>Valor</t>
  </si>
  <si>
    <t>Irrelevante</t>
  </si>
  <si>
    <t>Esencial</t>
  </si>
  <si>
    <t>de 0 a 2</t>
  </si>
  <si>
    <t>de 3 a 4</t>
  </si>
  <si>
    <t xml:space="preserve">Tfactor = </t>
  </si>
  <si>
    <t xml:space="preserve">Sum ( Valor*Peso) </t>
  </si>
  <si>
    <t>TCF =</t>
  </si>
  <si>
    <t>0,6 +( 0,01* Tfactor)</t>
  </si>
  <si>
    <t xml:space="preserve">Factores Ambientales </t>
  </si>
  <si>
    <t xml:space="preserve">Factor </t>
  </si>
  <si>
    <t>E1</t>
  </si>
  <si>
    <t>E2</t>
  </si>
  <si>
    <t>E3</t>
  </si>
  <si>
    <t>E4</t>
  </si>
  <si>
    <t>E5</t>
  </si>
  <si>
    <t>E6</t>
  </si>
  <si>
    <t>E7</t>
  </si>
  <si>
    <t>E8</t>
  </si>
  <si>
    <t>Familiaridad con el modelo de proyecto utilizado</t>
  </si>
  <si>
    <t>Experiencia en la aplicación.</t>
  </si>
  <si>
    <t>Experiencia en orientación a objetos.</t>
  </si>
  <si>
    <t>Capacidad del analista líder.</t>
  </si>
  <si>
    <t>Motivación</t>
  </si>
  <si>
    <t>Estabilidad de los requerimientos</t>
  </si>
  <si>
    <t>Personal part-time</t>
  </si>
  <si>
    <t>Cada uno de estos factores se debe calificar con un valor de 0 a 5.</t>
  </si>
  <si>
    <t xml:space="preserve">Efactor = </t>
  </si>
  <si>
    <t>Sum( Valor*Peso)</t>
  </si>
  <si>
    <t xml:space="preserve">EF= </t>
  </si>
  <si>
    <t>1,4 + (-0,03*Efactor)</t>
  </si>
  <si>
    <t>Esfuerzo horas- hombre ( E )</t>
  </si>
  <si>
    <t>Filtro</t>
  </si>
  <si>
    <t>de E1 a E6</t>
  </si>
  <si>
    <t>de E7 a E8</t>
  </si>
  <si>
    <t>Factor &lt; 3</t>
  </si>
  <si>
    <t>Factor &gt; 3</t>
  </si>
  <si>
    <t>Para evaluar el resultado o la cantidad total según la siguiente tabla:</t>
  </si>
  <si>
    <t xml:space="preserve">Horas  - Persona (CF) </t>
  </si>
  <si>
    <t>Si el valor es&lt;=2</t>
  </si>
  <si>
    <t>Si el valor es&lt;=4</t>
  </si>
  <si>
    <t>Si el valor es&gt;=5</t>
  </si>
  <si>
    <t>El esfuerzo en horas-persona viene dado por:</t>
  </si>
  <si>
    <t xml:space="preserve">E = </t>
  </si>
  <si>
    <t>UCP * CF</t>
  </si>
  <si>
    <t>E:</t>
  </si>
  <si>
    <t>UCP:</t>
  </si>
  <si>
    <t>CF:</t>
  </si>
  <si>
    <t>Actividad</t>
  </si>
  <si>
    <t>Análisis</t>
  </si>
  <si>
    <t>Diseño</t>
  </si>
  <si>
    <t>Programación</t>
  </si>
  <si>
    <t>Pruebas</t>
  </si>
  <si>
    <t>Sobrecarga</t>
  </si>
  <si>
    <t>esfuerzo estimado en horas- personas</t>
  </si>
  <si>
    <t>horas- personas</t>
  </si>
  <si>
    <t>puntos de casos usos ajustados</t>
  </si>
  <si>
    <t>En la siguiente tabla se detallan la distribución en porcentaje, para el esfuerzo total en el desarrollo del proyecto:</t>
  </si>
  <si>
    <t>Porcentaje ( %)</t>
  </si>
  <si>
    <t xml:space="preserve">Fórmulas y Abreviaciones </t>
  </si>
  <si>
    <t>FP = UFP * TCT</t>
  </si>
  <si>
    <t>FP: Puntos de función</t>
  </si>
  <si>
    <t>UFP: Puntos de función no ajustado</t>
  </si>
  <si>
    <t>TCT: Factor de complejidad</t>
  </si>
  <si>
    <t xml:space="preserve">UFP =  </t>
  </si>
  <si>
    <t xml:space="preserve">TCF = </t>
  </si>
  <si>
    <t xml:space="preserve">Donde </t>
  </si>
  <si>
    <t xml:space="preserve"> corresponde a los pesos asignados</t>
  </si>
  <si>
    <t>F1: mecanismos de recuperación  y back-up confiables</t>
  </si>
  <si>
    <t xml:space="preserve">F2: comunicación  de Datos </t>
  </si>
  <si>
    <t>F3: funciones de procesamiento distribuido</t>
  </si>
  <si>
    <t>F4: Performance</t>
  </si>
  <si>
    <t>F5 : Configuracion usada rigurosamente</t>
  </si>
  <si>
    <t>F6: Entrada de datos on-line</t>
  </si>
  <si>
    <t>F7: factibilidad operativa</t>
  </si>
  <si>
    <t>F8: Actualizacion de archivos on-line</t>
  </si>
  <si>
    <t xml:space="preserve">F9: Interfaces complejas </t>
  </si>
  <si>
    <t>F10: Procesamiento interno complejo</t>
  </si>
  <si>
    <t>F11: Reusabilidad</t>
  </si>
  <si>
    <t>F12: Fácil  instalación</t>
  </si>
  <si>
    <t xml:space="preserve">F13: soporte de múltiples instalaciones </t>
  </si>
  <si>
    <t>F14: Facilidad de cambios y amiguibilidad</t>
  </si>
  <si>
    <t>Los pesos se consideran dentro de una escala  de 0 a 5, descrita a continuación:</t>
  </si>
  <si>
    <t>0: sin Influencia</t>
  </si>
  <si>
    <t>1: Incidental</t>
  </si>
  <si>
    <t>2: Moderado</t>
  </si>
  <si>
    <t>3: Medio</t>
  </si>
  <si>
    <t>4: significativo</t>
  </si>
  <si>
    <t xml:space="preserve">5: esencial </t>
  </si>
  <si>
    <t>Variable establecida en una función de una medida de cinco factores  de escala:</t>
  </si>
  <si>
    <t>PREC :</t>
  </si>
  <si>
    <t>precedencia</t>
  </si>
  <si>
    <t>FLEX : flexibilidad de desarrollo</t>
  </si>
  <si>
    <t xml:space="preserve">RESL: resolución  de arquitectura/ riesgos </t>
  </si>
  <si>
    <t>TEAM: cohesión del equipo</t>
  </si>
  <si>
    <t>PMAT: Madurez del Proceso</t>
  </si>
  <si>
    <t>Modelo diseño temprano</t>
  </si>
  <si>
    <t>Clasificados en categorías, los 7 Multiplicadores de Esfuerzo son:</t>
  </si>
  <si>
    <t>Del Producto</t>
  </si>
  <si>
    <t>RCPX: Confiabilidad y Complejidad del producto</t>
  </si>
  <si>
    <t>RUSE: Reusabilidad Requerida</t>
  </si>
  <si>
    <t xml:space="preserve"> : es el esfuerzo nominal ajustado por 7 factores</t>
  </si>
  <si>
    <t>De la Plataforma</t>
  </si>
  <si>
    <t>PDIF: Dificultad de la Plataforma</t>
  </si>
  <si>
    <t>Del Personal</t>
  </si>
  <si>
    <t>PERS: Aptitud del Personal</t>
  </si>
  <si>
    <t>PREX: Experiencia del Personal</t>
  </si>
  <si>
    <t>Del Proyecto</t>
  </si>
  <si>
    <t>FCIL: Facilidades</t>
  </si>
  <si>
    <t>SCED: Cronograma de Desarrollo Requerido</t>
  </si>
  <si>
    <t>KSLOC: es el tamaño del software a desarrollar expresado en miles de línea de codigo fuente</t>
  </si>
  <si>
    <t>A: es una constante que captura los efectos lineales (A= 2.94).</t>
  </si>
  <si>
    <t>B: es el factor exponencial de escala.</t>
  </si>
  <si>
    <r>
      <t xml:space="preserve">: </t>
    </r>
    <r>
      <rPr>
        <sz val="11"/>
        <color theme="1"/>
        <rFont val="Calibri"/>
        <family val="2"/>
        <scheme val="minor"/>
      </rPr>
      <t>corresponde a los factores de costo que tienen un efecto multiplicativo sobre el esfuerzo.</t>
    </r>
  </si>
  <si>
    <t>Estimacion de esfuerzo</t>
  </si>
  <si>
    <t>A = 2.45 cte.</t>
  </si>
  <si>
    <t>Size = (FP/1000) * Leng</t>
  </si>
  <si>
    <t>Meses personas</t>
  </si>
  <si>
    <t xml:space="preserve">MP = A * </t>
  </si>
  <si>
    <t>Hay 7 multiplicadores de esfuerzo para el modelo de diseño anticipado: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</si>
  <si>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Aptitud personal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</si>
  <si>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Confiabilidad y complejidad del producto (RCPX)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</si>
  <si>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Reusabilidad  del producto (RUSE)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</si>
  <si>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Dificultad de la plataforma (PDIF)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</si>
  <si>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Experiencia del personal  (PREX)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</si>
  <si>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Facilidades (FCIL)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</si>
  <si>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Cronograma de desarrollo requeridos(SCED)</t>
    </r>
  </si>
  <si>
    <t>Hay  17 multiplicadores para el modelo de post-arquitectura: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</si>
  <si>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Confiabilidad  requerida (RELY)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</si>
  <si>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Tamaño de la base  de datos (DATA)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</si>
  <si>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Complejidad del producto (CPLX)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</si>
  <si>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DOCU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</si>
  <si>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Requerimientos de usabilidad (RUSE)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</si>
  <si>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Capacidad  del analista(ACAP)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</si>
  <si>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Capacidad del programador (PCAP)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</si>
  <si>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Continuidad del personal (PCON)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</si>
  <si>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Volatilidad de la plataforma(PVOL)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</si>
  <si>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Restricción del almacenamiento principal (STOR)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</si>
  <si>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Restricción del tiempo de ejecución (TIME)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</si>
  <si>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Experiencia en la aplicación(APEX)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</si>
  <si>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Experiencia en la plataforma (PLEX)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</si>
  <si>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Experiencia en lenguaje y herramientas (LTEX)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</si>
  <si>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Uso de herramientas de software (TOOL)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</si>
  <si>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Desarrollo multisitio (SITE)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</si>
  <si>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1"/>
        <color theme="1"/>
        <rFont val="Calibri"/>
        <family val="2"/>
        <scheme val="minor"/>
      </rPr>
      <t>Cronograma requerido para el desarrollo(SCED)</t>
    </r>
  </si>
  <si>
    <t>Mantenimiento de las aplicaciones</t>
  </si>
  <si>
    <t xml:space="preserve">= A * </t>
  </si>
  <si>
    <t xml:space="preserve">* </t>
  </si>
  <si>
    <t>Un tamaño de mantenimiento inicial se puede obtener de dos formas:</t>
  </si>
  <si>
    <t>1. Si el tamaño de código base se conoce y el porcentaje de cambio también, entonces:</t>
  </si>
  <si>
    <t xml:space="preserve">MCF = </t>
  </si>
  <si>
    <t xml:space="preserve">MAF = </t>
  </si>
  <si>
    <t>2. Si se conoce la fracción de código añadido ó modificado del código base durante el periodo de mantenimiento se utiliza la ecuación siguiente donde:</t>
  </si>
  <si>
    <t>Dificultad del lenguaje de programación</t>
  </si>
  <si>
    <t>KLOC</t>
  </si>
  <si>
    <t xml:space="preserve">KASLOC = </t>
  </si>
  <si>
    <t xml:space="preserve">lineas reusadas </t>
  </si>
  <si>
    <t>KSLOC =</t>
  </si>
  <si>
    <t>ASLOC =</t>
  </si>
  <si>
    <t>Sum / 2</t>
  </si>
  <si>
    <t xml:space="preserve">Costo = </t>
  </si>
  <si>
    <t>Precio * MM mantenimiento</t>
  </si>
  <si>
    <t>(anticipado)</t>
  </si>
  <si>
    <t>z</t>
  </si>
  <si>
    <t>AVG  SLOC / UFP</t>
  </si>
  <si>
    <t>JAVA</t>
  </si>
  <si>
    <t>*Esto es conpensa con la cantidad de integrantes de 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</si>
</sst>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52525"/>
      <name val="Calibri"/>
      <family val="2"/>
      <scheme val="minor"/>
    </font>
    <font>
      <b/>
      <sz val="11"/>
      <color rgb="FF252525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sz val="7"/>
      <color theme="1"/>
      <name val="Times New Roman"/>
      <family val="1"/>
    </font>
    <font>
      <b/>
      <i/>
      <u/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8" xfId="0" applyFill="1" applyBorder="1"/>
    <xf numFmtId="0" fontId="0" fillId="0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3" fillId="0" borderId="0" xfId="0" applyFont="1" applyBorder="1"/>
    <xf numFmtId="0" fontId="0" fillId="0" borderId="0" xfId="0" applyFont="1" applyBorder="1"/>
    <xf numFmtId="0" fontId="3" fillId="0" borderId="4" xfId="0" applyFont="1" applyBorder="1"/>
    <xf numFmtId="0" fontId="0" fillId="0" borderId="4" xfId="0" applyFont="1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2" fillId="0" borderId="7" xfId="0" applyFont="1" applyBorder="1"/>
    <xf numFmtId="0" fontId="1" fillId="0" borderId="1" xfId="0" applyFont="1" applyBorder="1"/>
    <xf numFmtId="0" fontId="0" fillId="0" borderId="11" xfId="0" applyFont="1" applyBorder="1"/>
    <xf numFmtId="0" fontId="4" fillId="0" borderId="0" xfId="0" applyFont="1"/>
    <xf numFmtId="0" fontId="3" fillId="0" borderId="0" xfId="0" applyFont="1"/>
    <xf numFmtId="0" fontId="0" fillId="0" borderId="0" xfId="0" applyFont="1"/>
    <xf numFmtId="0" fontId="0" fillId="0" borderId="3" xfId="0" applyFont="1" applyBorder="1"/>
    <xf numFmtId="0" fontId="0" fillId="0" borderId="5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indent="5"/>
    </xf>
    <xf numFmtId="0" fontId="0" fillId="0" borderId="0" xfId="0" applyAlignment="1">
      <alignment horizontal="left" indent="2"/>
    </xf>
    <xf numFmtId="0" fontId="0" fillId="0" borderId="0" xfId="0" applyAlignment="1">
      <alignment horizontal="justify"/>
    </xf>
    <xf numFmtId="0" fontId="10" fillId="0" borderId="0" xfId="0" applyFont="1" applyAlignment="1">
      <alignment horizontal="left" indent="5"/>
    </xf>
    <xf numFmtId="0" fontId="10" fillId="0" borderId="0" xfId="0" applyFont="1"/>
    <xf numFmtId="0" fontId="1" fillId="2" borderId="6" xfId="0" applyFont="1" applyFill="1" applyBorder="1"/>
    <xf numFmtId="0" fontId="1" fillId="2" borderId="0" xfId="0" applyFont="1" applyFill="1" applyBorder="1"/>
    <xf numFmtId="0" fontId="11" fillId="4" borderId="0" xfId="0" applyFont="1" applyFill="1"/>
    <xf numFmtId="0" fontId="11" fillId="4" borderId="1" xfId="0" applyFont="1" applyFill="1" applyBorder="1"/>
    <xf numFmtId="2" fontId="11" fillId="4" borderId="1" xfId="0" applyNumberFormat="1" applyFont="1" applyFill="1" applyBorder="1"/>
    <xf numFmtId="2" fontId="1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6</xdr:row>
      <xdr:rowOff>95250</xdr:rowOff>
    </xdr:from>
    <xdr:to>
      <xdr:col>3</xdr:col>
      <xdr:colOff>400050</xdr:colOff>
      <xdr:row>7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28625" y="1247775"/>
          <a:ext cx="2257425" cy="2000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476250</xdr:colOff>
      <xdr:row>8</xdr:row>
      <xdr:rowOff>19050</xdr:rowOff>
    </xdr:from>
    <xdr:to>
      <xdr:col>2</xdr:col>
      <xdr:colOff>209550</xdr:colOff>
      <xdr:row>9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76250" y="1552575"/>
          <a:ext cx="1257300" cy="2000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581025</xdr:colOff>
      <xdr:row>10</xdr:row>
      <xdr:rowOff>38100</xdr:rowOff>
    </xdr:from>
    <xdr:to>
      <xdr:col>0</xdr:col>
      <xdr:colOff>695325</xdr:colOff>
      <xdr:row>11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81025" y="1952625"/>
          <a:ext cx="11430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257175</xdr:colOff>
      <xdr:row>39</xdr:row>
      <xdr:rowOff>123825</xdr:rowOff>
    </xdr:from>
    <xdr:to>
      <xdr:col>2</xdr:col>
      <xdr:colOff>228600</xdr:colOff>
      <xdr:row>42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57175" y="7562850"/>
          <a:ext cx="1495425" cy="5143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247650</xdr:colOff>
      <xdr:row>44</xdr:row>
      <xdr:rowOff>85725</xdr:rowOff>
    </xdr:from>
    <xdr:to>
      <xdr:col>4</xdr:col>
      <xdr:colOff>142875</xdr:colOff>
      <xdr:row>47</xdr:row>
      <xdr:rowOff>9525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09650" y="8477250"/>
          <a:ext cx="2181225" cy="4953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114300</xdr:colOff>
      <xdr:row>47</xdr:row>
      <xdr:rowOff>76200</xdr:rowOff>
    </xdr:from>
    <xdr:to>
      <xdr:col>3</xdr:col>
      <xdr:colOff>295275</xdr:colOff>
      <xdr:row>48</xdr:row>
      <xdr:rowOff>76200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76300" y="9039225"/>
          <a:ext cx="170497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28575</xdr:colOff>
      <xdr:row>50</xdr:row>
      <xdr:rowOff>0</xdr:rowOff>
    </xdr:from>
    <xdr:to>
      <xdr:col>0</xdr:col>
      <xdr:colOff>704850</xdr:colOff>
      <xdr:row>51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8575" y="9534525"/>
          <a:ext cx="67627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238125</xdr:colOff>
      <xdr:row>70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3154025"/>
          <a:ext cx="23812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476250</xdr:colOff>
      <xdr:row>72</xdr:row>
      <xdr:rowOff>114300</xdr:rowOff>
    </xdr:from>
    <xdr:to>
      <xdr:col>2</xdr:col>
      <xdr:colOff>438150</xdr:colOff>
      <xdr:row>73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76250" y="13839825"/>
          <a:ext cx="148590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571500</xdr:colOff>
      <xdr:row>80</xdr:row>
      <xdr:rowOff>38100</xdr:rowOff>
    </xdr:from>
    <xdr:to>
      <xdr:col>2</xdr:col>
      <xdr:colOff>19050</xdr:colOff>
      <xdr:row>81</xdr:row>
      <xdr:rowOff>38100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71500" y="15287625"/>
          <a:ext cx="971550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257175</xdr:colOff>
      <xdr:row>114</xdr:row>
      <xdr:rowOff>0</xdr:rowOff>
    </xdr:to>
    <xdr:pic>
      <xdr:nvPicPr>
        <xdr:cNvPr id="7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1536025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342900</xdr:colOff>
      <xdr:row>113</xdr:row>
      <xdr:rowOff>28575</xdr:rowOff>
    </xdr:from>
    <xdr:to>
      <xdr:col>3</xdr:col>
      <xdr:colOff>19050</xdr:colOff>
      <xdr:row>114</xdr:row>
      <xdr:rowOff>28575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66900" y="21564600"/>
          <a:ext cx="438150" cy="1905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110838</xdr:colOff>
      <xdr:row>113</xdr:row>
      <xdr:rowOff>1</xdr:rowOff>
    </xdr:from>
    <xdr:to>
      <xdr:col>3</xdr:col>
      <xdr:colOff>457200</xdr:colOff>
      <xdr:row>114</xdr:row>
      <xdr:rowOff>38100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396838" y="21536026"/>
          <a:ext cx="346362" cy="228599"/>
        </a:xfrm>
        <a:prstGeom prst="rect">
          <a:avLst/>
        </a:prstGeom>
        <a:noFill/>
      </xdr:spPr>
    </xdr:pic>
    <xdr:clientData/>
  </xdr:twoCellAnchor>
  <xdr:twoCellAnchor>
    <xdr:from>
      <xdr:col>0</xdr:col>
      <xdr:colOff>228600</xdr:colOff>
      <xdr:row>118</xdr:row>
      <xdr:rowOff>95250</xdr:rowOff>
    </xdr:from>
    <xdr:to>
      <xdr:col>3</xdr:col>
      <xdr:colOff>523875</xdr:colOff>
      <xdr:row>119</xdr:row>
      <xdr:rowOff>95250</xdr:rowOff>
    </xdr:to>
    <xdr:pic>
      <xdr:nvPicPr>
        <xdr:cNvPr id="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8600" y="22583775"/>
          <a:ext cx="2581275" cy="1905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447675</xdr:colOff>
      <xdr:row>120</xdr:row>
      <xdr:rowOff>28574</xdr:rowOff>
    </xdr:from>
    <xdr:to>
      <xdr:col>2</xdr:col>
      <xdr:colOff>458566</xdr:colOff>
      <xdr:row>121</xdr:row>
      <xdr:rowOff>142875</xdr:rowOff>
    </xdr:to>
    <xdr:pic>
      <xdr:nvPicPr>
        <xdr:cNvPr id="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7675" y="22898099"/>
          <a:ext cx="1534891" cy="304801"/>
        </a:xfrm>
        <a:prstGeom prst="rect">
          <a:avLst/>
        </a:prstGeom>
        <a:noFill/>
      </xdr:spPr>
    </xdr:pic>
    <xdr:clientData/>
  </xdr:twoCellAnchor>
  <xdr:twoCellAnchor>
    <xdr:from>
      <xdr:col>0</xdr:col>
      <xdr:colOff>504825</xdr:colOff>
      <xdr:row>123</xdr:row>
      <xdr:rowOff>180975</xdr:rowOff>
    </xdr:from>
    <xdr:to>
      <xdr:col>2</xdr:col>
      <xdr:colOff>66675</xdr:colOff>
      <xdr:row>125</xdr:row>
      <xdr:rowOff>76200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04825" y="23622000"/>
          <a:ext cx="1085850" cy="2762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3</xdr:col>
      <xdr:colOff>571500</xdr:colOff>
      <xdr:row>130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24584025"/>
          <a:ext cx="2857500" cy="1905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131</xdr:row>
      <xdr:rowOff>9525</xdr:rowOff>
    </xdr:from>
    <xdr:to>
      <xdr:col>2</xdr:col>
      <xdr:colOff>323850</xdr:colOff>
      <xdr:row>132</xdr:row>
      <xdr:rowOff>95250</xdr:rowOff>
    </xdr:to>
    <xdr:pic>
      <xdr:nvPicPr>
        <xdr:cNvPr id="1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62000" y="24974550"/>
          <a:ext cx="1085850" cy="2762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0"/>
  <sheetViews>
    <sheetView tabSelected="1" topLeftCell="A64" workbookViewId="0">
      <selection activeCell="A64" sqref="A64"/>
    </sheetView>
  </sheetViews>
  <sheetFormatPr baseColWidth="10" defaultRowHeight="15" x14ac:dyDescent="0.25"/>
  <cols>
    <col min="1" max="1" width="33.5703125" customWidth="1"/>
    <col min="2" max="2" width="10.7109375" customWidth="1"/>
    <col min="3" max="3" width="9.28515625" customWidth="1"/>
    <col min="4" max="4" width="11.42578125" customWidth="1"/>
    <col min="5" max="5" width="9.42578125" customWidth="1"/>
    <col min="6" max="6" width="18.85546875" customWidth="1"/>
    <col min="7" max="7" width="12.140625" customWidth="1"/>
    <col min="8" max="8" width="9.28515625" customWidth="1"/>
    <col min="11" max="11" width="22.28515625" customWidth="1"/>
    <col min="12" max="12" width="18.28515625" customWidth="1"/>
    <col min="13" max="13" width="15.7109375" customWidth="1"/>
    <col min="14" max="14" width="16.28515625" customWidth="1"/>
    <col min="15" max="15" width="19.28515625" customWidth="1"/>
    <col min="16" max="16" width="15.5703125" customWidth="1"/>
  </cols>
  <sheetData>
    <row r="2" spans="1:16" x14ac:dyDescent="0.25">
      <c r="A2" s="4" t="s">
        <v>10</v>
      </c>
      <c r="B2" s="4"/>
      <c r="K2" s="4" t="s">
        <v>65</v>
      </c>
      <c r="O2" s="4"/>
    </row>
    <row r="3" spans="1:16" x14ac:dyDescent="0.25">
      <c r="A3" s="1"/>
      <c r="B3" s="2" t="s">
        <v>5</v>
      </c>
      <c r="C3" s="2" t="s">
        <v>6</v>
      </c>
      <c r="D3" s="2" t="s">
        <v>7</v>
      </c>
      <c r="E3" s="2" t="s">
        <v>8</v>
      </c>
      <c r="K3" s="2" t="s">
        <v>166</v>
      </c>
      <c r="L3" s="1">
        <f>B24</f>
        <v>3445</v>
      </c>
      <c r="N3" s="22" t="s">
        <v>169</v>
      </c>
      <c r="O3" s="1">
        <f xml:space="preserve"> (L4+L5)/L3</f>
        <v>1.3062409288824384</v>
      </c>
    </row>
    <row r="4" spans="1:16" x14ac:dyDescent="0.25">
      <c r="A4" s="1" t="s">
        <v>0</v>
      </c>
      <c r="B4" s="1">
        <v>2</v>
      </c>
      <c r="C4" s="1">
        <v>0</v>
      </c>
      <c r="D4" s="1">
        <v>1</v>
      </c>
      <c r="E4" s="1">
        <f>B4*6+C4*4+D4*3</f>
        <v>15</v>
      </c>
      <c r="K4" s="2" t="s">
        <v>167</v>
      </c>
      <c r="L4" s="1">
        <v>2500</v>
      </c>
      <c r="N4" s="48" t="s">
        <v>174</v>
      </c>
      <c r="O4" s="14">
        <f xml:space="preserve"> 1 + (20/100) * 0.2</f>
        <v>1.04</v>
      </c>
    </row>
    <row r="5" spans="1:16" x14ac:dyDescent="0.25">
      <c r="A5" s="1" t="s">
        <v>1</v>
      </c>
      <c r="B5" s="1">
        <v>1</v>
      </c>
      <c r="C5" s="1">
        <v>0</v>
      </c>
      <c r="D5" s="1">
        <v>0</v>
      </c>
      <c r="E5" s="1">
        <f>B5*7+C5*5+D5*4</f>
        <v>7</v>
      </c>
      <c r="K5" s="2" t="s">
        <v>168</v>
      </c>
      <c r="L5" s="1">
        <v>2000</v>
      </c>
      <c r="N5" s="22" t="s">
        <v>411</v>
      </c>
      <c r="O5" s="1" t="s">
        <v>412</v>
      </c>
      <c r="P5" s="1"/>
    </row>
    <row r="6" spans="1:16" x14ac:dyDescent="0.25">
      <c r="A6" s="1" t="s">
        <v>2</v>
      </c>
      <c r="B6" s="1">
        <v>2</v>
      </c>
      <c r="C6" s="1">
        <v>0</v>
      </c>
      <c r="D6" s="1">
        <v>1</v>
      </c>
      <c r="E6" s="1">
        <f>B6*6+C6*4+D6*3</f>
        <v>15</v>
      </c>
      <c r="K6" s="2" t="s">
        <v>170</v>
      </c>
      <c r="L6" s="1">
        <f xml:space="preserve"> ((L3 *O3)*O4 )/1000</f>
        <v>4.68</v>
      </c>
    </row>
    <row r="7" spans="1:16" x14ac:dyDescent="0.25">
      <c r="A7" s="1" t="s">
        <v>3</v>
      </c>
      <c r="B7" s="1">
        <v>0</v>
      </c>
      <c r="C7" s="1">
        <v>0</v>
      </c>
      <c r="D7" s="1">
        <v>1</v>
      </c>
      <c r="E7" s="1">
        <f>B7*15+C7*10+D7*7</f>
        <v>7</v>
      </c>
      <c r="K7" s="2" t="s">
        <v>171</v>
      </c>
      <c r="L7" s="1">
        <f>2.45 *(L6^E20)*H61</f>
        <v>0</v>
      </c>
      <c r="M7" t="s">
        <v>413</v>
      </c>
    </row>
    <row r="8" spans="1:16" x14ac:dyDescent="0.25">
      <c r="A8" s="1" t="s">
        <v>4</v>
      </c>
      <c r="B8" s="1">
        <v>2</v>
      </c>
      <c r="C8" s="1">
        <v>0</v>
      </c>
      <c r="D8" s="1">
        <v>0</v>
      </c>
      <c r="E8" s="1">
        <f>B8*10+C8*7+D8*5</f>
        <v>20</v>
      </c>
    </row>
    <row r="9" spans="1:16" x14ac:dyDescent="0.25">
      <c r="D9" s="2" t="s">
        <v>91</v>
      </c>
      <c r="E9" s="2">
        <f>E4+E5+E6+E7+E8+1</f>
        <v>65</v>
      </c>
    </row>
    <row r="10" spans="1:16" x14ac:dyDescent="0.25">
      <c r="K10" s="4" t="s">
        <v>68</v>
      </c>
      <c r="L10" s="4"/>
      <c r="M10" s="4"/>
      <c r="N10" s="4"/>
      <c r="O10" s="4"/>
    </row>
    <row r="11" spans="1:16" x14ac:dyDescent="0.25">
      <c r="L11" s="2" t="s">
        <v>32</v>
      </c>
      <c r="M11" s="2" t="s">
        <v>14</v>
      </c>
      <c r="N11" s="2" t="s">
        <v>70</v>
      </c>
      <c r="O11" s="2" t="s">
        <v>19</v>
      </c>
      <c r="P11" s="21" t="s">
        <v>20</v>
      </c>
    </row>
    <row r="12" spans="1:16" x14ac:dyDescent="0.25">
      <c r="A12" s="4" t="s">
        <v>9</v>
      </c>
      <c r="K12" s="14" t="s">
        <v>69</v>
      </c>
      <c r="L12" s="14" t="s">
        <v>71</v>
      </c>
      <c r="M12" s="14" t="s">
        <v>75</v>
      </c>
      <c r="N12" s="14" t="s">
        <v>79</v>
      </c>
      <c r="O12" s="17" t="s">
        <v>84</v>
      </c>
      <c r="P12" s="10" t="s">
        <v>85</v>
      </c>
    </row>
    <row r="13" spans="1:16" x14ac:dyDescent="0.25">
      <c r="A13" s="1"/>
      <c r="B13" s="2" t="s">
        <v>13</v>
      </c>
      <c r="C13" s="2" t="s">
        <v>14</v>
      </c>
      <c r="D13" s="2" t="s">
        <v>15</v>
      </c>
      <c r="E13" s="2" t="s">
        <v>19</v>
      </c>
      <c r="F13" s="2" t="s">
        <v>20</v>
      </c>
      <c r="G13" s="2" t="s">
        <v>21</v>
      </c>
      <c r="H13" s="2" t="s">
        <v>8</v>
      </c>
      <c r="K13" s="15"/>
      <c r="L13" s="15" t="s">
        <v>72</v>
      </c>
      <c r="M13" s="15" t="s">
        <v>76</v>
      </c>
      <c r="N13" s="15" t="s">
        <v>80</v>
      </c>
      <c r="O13" s="19" t="s">
        <v>14</v>
      </c>
      <c r="P13" s="11" t="s">
        <v>86</v>
      </c>
    </row>
    <row r="14" spans="1:16" x14ac:dyDescent="0.25">
      <c r="A14" s="1" t="s">
        <v>11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f>B14*6.2+C14*4.96+D14*3.72+E14*2.48+F14*1.24+G14*0</f>
        <v>6.2</v>
      </c>
      <c r="K14" s="15"/>
      <c r="L14" s="15" t="s">
        <v>73</v>
      </c>
      <c r="M14" s="15" t="s">
        <v>77</v>
      </c>
      <c r="N14" s="15" t="s">
        <v>81</v>
      </c>
      <c r="O14" s="19" t="s">
        <v>78</v>
      </c>
      <c r="P14" s="11" t="s">
        <v>87</v>
      </c>
    </row>
    <row r="15" spans="1:16" x14ac:dyDescent="0.25">
      <c r="A15" s="1" t="s">
        <v>12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f>B15*5.07+C15*4.05+D15*3.04+E15*2.03+F15*1.01+G15*0</f>
        <v>5.07</v>
      </c>
      <c r="K15" s="15"/>
      <c r="L15" s="15" t="s">
        <v>74</v>
      </c>
      <c r="M15" s="15" t="s">
        <v>78</v>
      </c>
      <c r="N15" s="15" t="s">
        <v>82</v>
      </c>
      <c r="O15" s="19"/>
      <c r="P15" s="11" t="s">
        <v>88</v>
      </c>
    </row>
    <row r="16" spans="1:16" x14ac:dyDescent="0.25">
      <c r="A16" s="1" t="s">
        <v>16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f>B16*7.07+C16*5.65+D16*4.24+E16*2.83+F16*1.41+G16*0</f>
        <v>4.24</v>
      </c>
      <c r="K16" s="15"/>
      <c r="L16" s="15"/>
      <c r="M16" s="15"/>
      <c r="N16" s="15" t="s">
        <v>83</v>
      </c>
      <c r="O16" s="19"/>
      <c r="P16" s="11" t="s">
        <v>89</v>
      </c>
    </row>
    <row r="17" spans="1:16" x14ac:dyDescent="0.25">
      <c r="A17" s="1" t="s">
        <v>17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f>B17*5.48+C17*4.38+D17*3.29+E17*2.19+F17*1.1+G17*0</f>
        <v>2.19</v>
      </c>
      <c r="K17" s="16"/>
      <c r="L17" s="16"/>
      <c r="M17" s="16"/>
      <c r="N17" s="16"/>
      <c r="O17" s="18"/>
      <c r="P17" s="13" t="s">
        <v>90</v>
      </c>
    </row>
    <row r="18" spans="1:16" x14ac:dyDescent="0.25">
      <c r="A18" s="1" t="s">
        <v>18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f>B18*7.8+C18*6.24+D18*4.68+E18*3.12+F18*1.56+G18*0</f>
        <v>6.24</v>
      </c>
      <c r="K18" s="14" t="s">
        <v>92</v>
      </c>
      <c r="L18" s="14" t="s">
        <v>94</v>
      </c>
      <c r="M18" s="14" t="s">
        <v>97</v>
      </c>
      <c r="N18" s="14" t="s">
        <v>99</v>
      </c>
      <c r="O18" s="14" t="s">
        <v>101</v>
      </c>
      <c r="P18" s="14" t="s">
        <v>102</v>
      </c>
    </row>
    <row r="19" spans="1:16" x14ac:dyDescent="0.25">
      <c r="B19" s="50" t="s">
        <v>416</v>
      </c>
      <c r="G19" s="2" t="s">
        <v>49</v>
      </c>
      <c r="H19" s="2">
        <f>H14+H15+H16+H17+H18</f>
        <v>23.939999999999998</v>
      </c>
      <c r="K19" s="15" t="s">
        <v>93</v>
      </c>
      <c r="L19" s="15" t="s">
        <v>95</v>
      </c>
      <c r="M19" s="15" t="s">
        <v>98</v>
      </c>
      <c r="N19" s="15" t="s">
        <v>100</v>
      </c>
      <c r="O19" s="15" t="s">
        <v>98</v>
      </c>
      <c r="P19" s="15" t="s">
        <v>103</v>
      </c>
    </row>
    <row r="20" spans="1:16" x14ac:dyDescent="0.25">
      <c r="A20" s="22" t="s">
        <v>59</v>
      </c>
      <c r="B20" s="1">
        <v>53</v>
      </c>
      <c r="D20" s="22" t="s">
        <v>172</v>
      </c>
      <c r="E20" s="14">
        <f xml:space="preserve"> 0.91 + (0.01* H19)</f>
        <v>1.1494</v>
      </c>
      <c r="K20" s="15"/>
      <c r="L20" s="15" t="s">
        <v>96</v>
      </c>
      <c r="M20" s="15" t="s">
        <v>95</v>
      </c>
      <c r="N20" s="15" t="s">
        <v>95</v>
      </c>
      <c r="O20" s="15" t="s">
        <v>95</v>
      </c>
      <c r="P20" s="15" t="s">
        <v>104</v>
      </c>
    </row>
    <row r="21" spans="1:16" x14ac:dyDescent="0.25">
      <c r="A21" s="22" t="s">
        <v>22</v>
      </c>
      <c r="B21" s="1">
        <f>0.91+(0.091*H19)</f>
        <v>3.0885400000000001</v>
      </c>
      <c r="D21" s="22" t="s">
        <v>406</v>
      </c>
      <c r="E21" s="1" t="s">
        <v>407</v>
      </c>
      <c r="F21" s="30"/>
      <c r="K21" s="16"/>
      <c r="L21" s="16"/>
      <c r="M21" s="16" t="s">
        <v>96</v>
      </c>
      <c r="N21" s="16" t="s">
        <v>96</v>
      </c>
      <c r="O21" s="16" t="s">
        <v>96</v>
      </c>
      <c r="P21" s="16" t="s">
        <v>105</v>
      </c>
    </row>
    <row r="22" spans="1:16" x14ac:dyDescent="0.25">
      <c r="A22" s="22" t="s">
        <v>60</v>
      </c>
      <c r="B22" s="1">
        <v>2.4500000000000002</v>
      </c>
      <c r="D22" s="22" t="s">
        <v>408</v>
      </c>
      <c r="E22" s="1">
        <f>B23</f>
        <v>3.4449999999999998</v>
      </c>
      <c r="K22" s="14" t="s">
        <v>106</v>
      </c>
      <c r="L22" s="14" t="s">
        <v>108</v>
      </c>
      <c r="M22" s="14" t="s">
        <v>112</v>
      </c>
      <c r="N22" s="14" t="s">
        <v>117</v>
      </c>
      <c r="O22" s="17" t="s">
        <v>122</v>
      </c>
      <c r="P22" s="17" t="s">
        <v>127</v>
      </c>
    </row>
    <row r="23" spans="1:16" x14ac:dyDescent="0.25">
      <c r="A23" s="22" t="s">
        <v>405</v>
      </c>
      <c r="B23" s="1">
        <f>(E9*B20)/1000</f>
        <v>3.4449999999999998</v>
      </c>
      <c r="K23" s="15" t="s">
        <v>107</v>
      </c>
      <c r="L23" s="15" t="s">
        <v>109</v>
      </c>
      <c r="M23" s="15" t="s">
        <v>113</v>
      </c>
      <c r="N23" s="15" t="s">
        <v>118</v>
      </c>
      <c r="O23" s="19" t="s">
        <v>123</v>
      </c>
      <c r="P23" s="19" t="s">
        <v>128</v>
      </c>
    </row>
    <row r="24" spans="1:16" x14ac:dyDescent="0.25">
      <c r="A24" s="22" t="s">
        <v>409</v>
      </c>
      <c r="B24" s="1">
        <f>E22*1000</f>
        <v>3445</v>
      </c>
      <c r="D24" s="49" t="s">
        <v>415</v>
      </c>
      <c r="K24" s="15"/>
      <c r="L24" s="15" t="s">
        <v>110</v>
      </c>
      <c r="M24" s="15" t="s">
        <v>114</v>
      </c>
      <c r="N24" s="15" t="s">
        <v>119</v>
      </c>
      <c r="O24" s="19" t="s">
        <v>124</v>
      </c>
      <c r="P24" s="19" t="s">
        <v>129</v>
      </c>
    </row>
    <row r="25" spans="1:16" x14ac:dyDescent="0.25">
      <c r="A25" s="4"/>
      <c r="D25">
        <v>53</v>
      </c>
      <c r="K25" s="15"/>
      <c r="L25" s="15" t="s">
        <v>111</v>
      </c>
      <c r="M25" s="15" t="s">
        <v>115</v>
      </c>
      <c r="N25" s="15" t="s">
        <v>120</v>
      </c>
      <c r="O25" s="19" t="s">
        <v>109</v>
      </c>
      <c r="P25" s="19" t="s">
        <v>109</v>
      </c>
    </row>
    <row r="26" spans="1:16" x14ac:dyDescent="0.25">
      <c r="A26" s="4" t="s">
        <v>61</v>
      </c>
      <c r="K26" s="15"/>
      <c r="L26" s="15"/>
      <c r="M26" s="15" t="s">
        <v>116</v>
      </c>
      <c r="N26" s="15" t="s">
        <v>121</v>
      </c>
      <c r="O26" s="19" t="s">
        <v>125</v>
      </c>
      <c r="P26" s="19" t="s">
        <v>130</v>
      </c>
    </row>
    <row r="27" spans="1:16" x14ac:dyDescent="0.25">
      <c r="A27" s="3" t="s">
        <v>62</v>
      </c>
      <c r="B27">
        <f>(B22*(B23^E20))</f>
        <v>10.153397315277827</v>
      </c>
      <c r="K27" s="15"/>
      <c r="L27" s="15"/>
      <c r="M27" s="15" t="s">
        <v>109</v>
      </c>
      <c r="N27" s="15"/>
      <c r="O27" s="19" t="s">
        <v>126</v>
      </c>
      <c r="P27" s="19" t="s">
        <v>131</v>
      </c>
    </row>
    <row r="28" spans="1:16" x14ac:dyDescent="0.25">
      <c r="A28" s="50" t="s">
        <v>63</v>
      </c>
      <c r="B28" s="50">
        <f>B27*I40</f>
        <v>8.2922298357405566</v>
      </c>
      <c r="K28" s="15"/>
      <c r="L28" s="15"/>
      <c r="M28" s="15"/>
      <c r="N28" s="15"/>
      <c r="O28" s="19"/>
      <c r="P28" s="19" t="s">
        <v>132</v>
      </c>
    </row>
    <row r="29" spans="1:16" x14ac:dyDescent="0.25">
      <c r="A29" s="5" t="s">
        <v>64</v>
      </c>
      <c r="B29">
        <f>B27*H61</f>
        <v>0</v>
      </c>
      <c r="K29" s="16"/>
      <c r="L29" s="16"/>
      <c r="M29" s="16"/>
      <c r="N29" s="16"/>
      <c r="O29" s="18"/>
      <c r="P29" s="18" t="s">
        <v>133</v>
      </c>
    </row>
    <row r="30" spans="1:16" x14ac:dyDescent="0.25">
      <c r="K30" s="14" t="s">
        <v>134</v>
      </c>
      <c r="L30" s="14">
        <f>50</f>
        <v>50</v>
      </c>
      <c r="M30" s="14">
        <f>40</f>
        <v>40</v>
      </c>
      <c r="N30" s="17">
        <f>30</f>
        <v>30</v>
      </c>
      <c r="O30" s="14">
        <f>20</f>
        <v>20</v>
      </c>
      <c r="P30" s="11">
        <f>10</f>
        <v>10</v>
      </c>
    </row>
    <row r="31" spans="1:16" x14ac:dyDescent="0.25">
      <c r="A31" s="4" t="s">
        <v>23</v>
      </c>
      <c r="B31" s="4"/>
      <c r="C31" s="4"/>
      <c r="K31" s="16" t="s">
        <v>135</v>
      </c>
      <c r="L31" s="16"/>
      <c r="M31" s="16"/>
      <c r="N31" s="18"/>
      <c r="O31" s="16"/>
      <c r="P31" s="13"/>
    </row>
    <row r="32" spans="1:16" x14ac:dyDescent="0.25">
      <c r="A32" s="1"/>
      <c r="B32" s="2" t="s">
        <v>31</v>
      </c>
      <c r="C32" s="2" t="s">
        <v>32</v>
      </c>
      <c r="D32" s="2" t="s">
        <v>14</v>
      </c>
      <c r="E32" s="2" t="s">
        <v>15</v>
      </c>
      <c r="F32" s="2" t="s">
        <v>19</v>
      </c>
      <c r="G32" s="2" t="s">
        <v>20</v>
      </c>
      <c r="H32" s="2" t="s">
        <v>21</v>
      </c>
      <c r="I32" s="2" t="s">
        <v>8</v>
      </c>
      <c r="J32" s="7"/>
      <c r="O32" s="22" t="s">
        <v>173</v>
      </c>
      <c r="P32" s="23" t="s">
        <v>410</v>
      </c>
    </row>
    <row r="33" spans="1:14" x14ac:dyDescent="0.25">
      <c r="A33" s="1" t="s">
        <v>24</v>
      </c>
      <c r="B33" s="1"/>
      <c r="C33" s="1"/>
      <c r="D33" s="1"/>
      <c r="E33" s="1"/>
      <c r="F33" s="1">
        <v>1</v>
      </c>
      <c r="G33" s="1"/>
      <c r="H33" s="1"/>
      <c r="I33" s="1">
        <f>B33*0.73+C33*0.81+D33*0.98+E33*1+F33*1.3+G33*1.74+H33*2.38</f>
        <v>1.3</v>
      </c>
      <c r="J33" s="6"/>
    </row>
    <row r="34" spans="1:14" x14ac:dyDescent="0.25">
      <c r="A34" s="1" t="s">
        <v>25</v>
      </c>
      <c r="B34" s="1"/>
      <c r="C34" s="1"/>
      <c r="D34" s="1"/>
      <c r="E34" s="1">
        <v>1</v>
      </c>
      <c r="F34" s="1"/>
      <c r="G34" s="1"/>
      <c r="H34" s="1"/>
      <c r="I34" s="1">
        <f>B34*0+C34*0+D34*0.95+E34*1+F34*1.07+G34*1.15+H34*1.24</f>
        <v>1</v>
      </c>
      <c r="J34" s="6"/>
      <c r="K34" s="4" t="s">
        <v>136</v>
      </c>
      <c r="L34" s="4"/>
      <c r="M34" s="4"/>
      <c r="N34" s="4"/>
    </row>
    <row r="35" spans="1:14" x14ac:dyDescent="0.25">
      <c r="A35" s="1" t="s">
        <v>26</v>
      </c>
      <c r="B35" s="1"/>
      <c r="C35" s="1"/>
      <c r="D35" s="1">
        <v>1</v>
      </c>
      <c r="E35" s="1"/>
      <c r="F35" s="1"/>
      <c r="G35" s="1"/>
      <c r="H35" s="1"/>
      <c r="I35" s="1">
        <f>B35*0+C35*0+D35*0.87+E35*1+F35*1.29+G35*1.81+H35*2.61</f>
        <v>0.87</v>
      </c>
      <c r="J35" s="6"/>
      <c r="K35" s="2" t="s">
        <v>137</v>
      </c>
      <c r="L35" s="20" t="s">
        <v>138</v>
      </c>
      <c r="M35" s="21"/>
    </row>
    <row r="36" spans="1:14" x14ac:dyDescent="0.25">
      <c r="A36" s="1" t="s">
        <v>27</v>
      </c>
      <c r="B36" s="1"/>
      <c r="C36" s="1"/>
      <c r="D36" s="1"/>
      <c r="E36" s="1"/>
      <c r="F36" s="1">
        <v>1</v>
      </c>
      <c r="G36" s="1"/>
      <c r="H36" s="1"/>
      <c r="I36" s="1">
        <f>B36*2.12+C36*1.62+D36*1.26+E36*1+F36*0.83+G36*0.63+H36*0.5</f>
        <v>0.83</v>
      </c>
      <c r="J36" s="6"/>
      <c r="K36" s="15">
        <v>0</v>
      </c>
      <c r="L36" s="6" t="s">
        <v>139</v>
      </c>
      <c r="M36" s="11"/>
    </row>
    <row r="37" spans="1:14" x14ac:dyDescent="0.25">
      <c r="A37" s="1" t="s">
        <v>28</v>
      </c>
      <c r="B37" s="1"/>
      <c r="C37" s="1"/>
      <c r="D37" s="1"/>
      <c r="E37" s="1">
        <v>1</v>
      </c>
      <c r="F37" s="1"/>
      <c r="G37" s="1"/>
      <c r="H37" s="1"/>
      <c r="I37" s="1">
        <f>B37*1.59+C37*1.33+D37*1.12+E37*1+F37*0.87+G37*0.71+H37*0.62</f>
        <v>1</v>
      </c>
      <c r="J37" s="6"/>
      <c r="K37" s="15">
        <f>0.2</f>
        <v>0.2</v>
      </c>
      <c r="L37" s="6" t="s">
        <v>140</v>
      </c>
      <c r="M37" s="11"/>
    </row>
    <row r="38" spans="1:14" x14ac:dyDescent="0.25">
      <c r="A38" s="1" t="s">
        <v>29</v>
      </c>
      <c r="B38" s="1"/>
      <c r="C38" s="1"/>
      <c r="D38" s="1"/>
      <c r="E38" s="1"/>
      <c r="F38" s="1">
        <v>1</v>
      </c>
      <c r="G38" s="1"/>
      <c r="H38" s="1"/>
      <c r="I38" s="1">
        <f>B38*1.43+C38*1.3+D38*1.1+E38*1+F38*0.87+G38*0.73+H38*0.62</f>
        <v>0.87</v>
      </c>
      <c r="J38" s="6"/>
      <c r="K38" s="15">
        <f>0.4</f>
        <v>0.4</v>
      </c>
      <c r="L38" s="6" t="s">
        <v>141</v>
      </c>
      <c r="M38" s="11"/>
    </row>
    <row r="39" spans="1:14" x14ac:dyDescent="0.25">
      <c r="A39" s="1" t="s">
        <v>30</v>
      </c>
      <c r="B39" s="1"/>
      <c r="C39" s="1"/>
      <c r="D39" s="1"/>
      <c r="E39" s="1">
        <v>1</v>
      </c>
      <c r="F39" s="1"/>
      <c r="G39" s="1"/>
      <c r="H39" s="1"/>
      <c r="I39" s="1">
        <f>B39*0+C39*1.43+D39*1.14+E39*1+F39*1+G39*1+H39*0</f>
        <v>1</v>
      </c>
      <c r="J39" s="6"/>
      <c r="K39" s="15">
        <f>0.6</f>
        <v>0.6</v>
      </c>
      <c r="L39" s="6" t="s">
        <v>142</v>
      </c>
      <c r="M39" s="11"/>
    </row>
    <row r="40" spans="1:14" x14ac:dyDescent="0.25">
      <c r="H40" s="2" t="s">
        <v>175</v>
      </c>
      <c r="I40" s="2">
        <f>I33*I34*I35*I36*I37*I38*I39</f>
        <v>0.81669510000000001</v>
      </c>
      <c r="J40" s="7"/>
      <c r="K40" s="15">
        <f>0.8</f>
        <v>0.8</v>
      </c>
      <c r="L40" s="6" t="s">
        <v>143</v>
      </c>
      <c r="M40" s="11"/>
    </row>
    <row r="41" spans="1:14" x14ac:dyDescent="0.25">
      <c r="K41" s="16">
        <f>1</f>
        <v>1</v>
      </c>
      <c r="L41" s="12" t="s">
        <v>144</v>
      </c>
      <c r="M41" s="13"/>
    </row>
    <row r="42" spans="1:14" x14ac:dyDescent="0.25">
      <c r="A42" s="4" t="s">
        <v>33</v>
      </c>
      <c r="B42" s="4"/>
      <c r="C42" s="4"/>
      <c r="D42" s="4"/>
    </row>
    <row r="43" spans="1:14" x14ac:dyDescent="0.25">
      <c r="A43" s="1"/>
      <c r="B43" s="2" t="s">
        <v>32</v>
      </c>
      <c r="C43" s="2" t="s">
        <v>14</v>
      </c>
      <c r="D43" s="2" t="s">
        <v>15</v>
      </c>
      <c r="E43" s="2" t="s">
        <v>19</v>
      </c>
      <c r="F43" s="2" t="s">
        <v>20</v>
      </c>
      <c r="G43" s="2" t="s">
        <v>21</v>
      </c>
      <c r="H43" s="2" t="s">
        <v>8</v>
      </c>
    </row>
    <row r="44" spans="1:14" x14ac:dyDescent="0.25">
      <c r="A44" s="1" t="s">
        <v>34</v>
      </c>
      <c r="B44" s="1"/>
      <c r="C44" s="1"/>
      <c r="D44" s="1"/>
      <c r="E44" s="1">
        <v>0</v>
      </c>
      <c r="F44" s="1"/>
      <c r="G44" s="1"/>
      <c r="H44" s="1">
        <f>B44*0.82+C44*0.92+D44*1+E44*1.1+F44*1.26+G44*0</f>
        <v>0</v>
      </c>
      <c r="K44" s="4" t="s">
        <v>414</v>
      </c>
      <c r="L44" s="4"/>
      <c r="M44" s="4"/>
    </row>
    <row r="45" spans="1:14" x14ac:dyDescent="0.25">
      <c r="A45" s="1" t="s">
        <v>35</v>
      </c>
      <c r="B45" s="1"/>
      <c r="C45" s="1"/>
      <c r="D45" s="1"/>
      <c r="E45" s="1">
        <v>0</v>
      </c>
      <c r="F45" s="1"/>
      <c r="G45" s="1"/>
      <c r="H45" s="1">
        <f>B45*0+C45*0.9+D45*1+E45*1.14+F45*1.28+G45*0</f>
        <v>0</v>
      </c>
      <c r="K45" s="2" t="s">
        <v>145</v>
      </c>
      <c r="L45" s="1">
        <f>71</f>
        <v>71</v>
      </c>
    </row>
    <row r="46" spans="1:14" x14ac:dyDescent="0.25">
      <c r="A46" s="1" t="s">
        <v>36</v>
      </c>
      <c r="B46" s="1"/>
      <c r="C46" s="1"/>
      <c r="D46" s="1"/>
      <c r="E46" s="1">
        <v>0</v>
      </c>
      <c r="F46" s="1"/>
      <c r="G46" s="1"/>
      <c r="H46" s="1">
        <f>B46*0.73+C46*0.87+D46*1+E46*1.17+F46*1.34+G46*1.74</f>
        <v>0</v>
      </c>
      <c r="K46" s="2" t="s">
        <v>146</v>
      </c>
      <c r="L46" s="1">
        <f>49</f>
        <v>49</v>
      </c>
    </row>
    <row r="47" spans="1:14" x14ac:dyDescent="0.25">
      <c r="A47" s="1" t="s">
        <v>25</v>
      </c>
      <c r="B47" s="1"/>
      <c r="C47" s="1"/>
      <c r="D47" s="1"/>
      <c r="E47" s="1">
        <v>0</v>
      </c>
      <c r="F47" s="1"/>
      <c r="G47" s="1"/>
      <c r="H47" s="1">
        <f>B47*0+C47*0.95+D47*1+E47*1.07+F47*1.15+G47*1.24</f>
        <v>0</v>
      </c>
      <c r="K47" s="2" t="s">
        <v>147</v>
      </c>
      <c r="L47" s="1">
        <f>32</f>
        <v>32</v>
      </c>
    </row>
    <row r="48" spans="1:14" x14ac:dyDescent="0.25">
      <c r="A48" s="1" t="s">
        <v>37</v>
      </c>
      <c r="B48" s="1"/>
      <c r="C48" s="1"/>
      <c r="D48" s="1"/>
      <c r="E48" s="1">
        <v>0</v>
      </c>
      <c r="F48" s="1"/>
      <c r="G48" s="1"/>
      <c r="H48" s="1">
        <f>B48*0.81+C48*0.91+D48*1+E48*1.11+F48*1.23+G48*0</f>
        <v>0</v>
      </c>
      <c r="K48" s="2" t="s">
        <v>148</v>
      </c>
      <c r="L48" s="1">
        <f>320</f>
        <v>320</v>
      </c>
    </row>
    <row r="49" spans="1:12" x14ac:dyDescent="0.25">
      <c r="A49" s="1" t="s">
        <v>38</v>
      </c>
      <c r="B49" s="1"/>
      <c r="C49" s="1"/>
      <c r="D49" s="1"/>
      <c r="E49" s="1">
        <v>0</v>
      </c>
      <c r="F49" s="1"/>
      <c r="G49" s="1"/>
      <c r="H49" s="1">
        <f>B49*0+C49*0+D49*1+E49*1.11+F49*1.29+G49*1.63</f>
        <v>0</v>
      </c>
      <c r="K49" s="2" t="s">
        <v>149</v>
      </c>
      <c r="L49" s="1">
        <f>213</f>
        <v>213</v>
      </c>
    </row>
    <row r="50" spans="1:12" x14ac:dyDescent="0.25">
      <c r="A50" s="1" t="s">
        <v>39</v>
      </c>
      <c r="B50" s="1"/>
      <c r="C50" s="1"/>
      <c r="D50" s="1"/>
      <c r="E50" s="1">
        <v>0</v>
      </c>
      <c r="F50" s="1"/>
      <c r="G50" s="1"/>
      <c r="H50" s="1">
        <f>B50*0+C50*0+D50*1+E50*1.05+F50*1.17+G50*1.46</f>
        <v>0</v>
      </c>
      <c r="K50" s="2" t="s">
        <v>150</v>
      </c>
      <c r="L50" s="1">
        <f>64</f>
        <v>64</v>
      </c>
    </row>
    <row r="51" spans="1:12" x14ac:dyDescent="0.25">
      <c r="A51" s="1" t="s">
        <v>40</v>
      </c>
      <c r="B51" s="1"/>
      <c r="C51" s="1"/>
      <c r="D51" s="1"/>
      <c r="E51" s="1">
        <v>0</v>
      </c>
      <c r="F51" s="1"/>
      <c r="G51" s="1"/>
      <c r="H51" s="1">
        <f>B51*0+C51*0.87+D51*1+E51*1.15+F51*1.3+G51*0</f>
        <v>0</v>
      </c>
      <c r="K51" s="2" t="s">
        <v>151</v>
      </c>
      <c r="L51" s="1">
        <f>91</f>
        <v>91</v>
      </c>
    </row>
    <row r="52" spans="1:12" x14ac:dyDescent="0.25">
      <c r="A52" s="1" t="s">
        <v>41</v>
      </c>
      <c r="B52" s="1"/>
      <c r="C52" s="1"/>
      <c r="D52" s="1"/>
      <c r="E52" s="1">
        <v>0</v>
      </c>
      <c r="F52" s="1"/>
      <c r="G52" s="1"/>
      <c r="H52" s="1">
        <f>B52*1.42+C52*1.19+D52*1+E52*0.85+F52*0.71+G52*0</f>
        <v>0</v>
      </c>
      <c r="K52" s="2" t="s">
        <v>152</v>
      </c>
      <c r="L52" s="1">
        <f>128</f>
        <v>128</v>
      </c>
    </row>
    <row r="53" spans="1:12" x14ac:dyDescent="0.25">
      <c r="A53" s="1" t="s">
        <v>42</v>
      </c>
      <c r="B53" s="1"/>
      <c r="C53" s="1"/>
      <c r="D53" s="1"/>
      <c r="E53" s="1">
        <v>0</v>
      </c>
      <c r="F53" s="1"/>
      <c r="G53" s="1"/>
      <c r="H53" s="1">
        <f>B53*1.34+C53*1.15+D53*1+E53*0.88+F53*0.76+G53*0</f>
        <v>0</v>
      </c>
      <c r="K53" s="2" t="s">
        <v>153</v>
      </c>
      <c r="L53" s="1">
        <f>128</f>
        <v>128</v>
      </c>
    </row>
    <row r="54" spans="1:12" x14ac:dyDescent="0.25">
      <c r="A54" s="1" t="s">
        <v>43</v>
      </c>
      <c r="B54" s="1"/>
      <c r="C54" s="1"/>
      <c r="D54" s="1"/>
      <c r="E54" s="1">
        <v>0</v>
      </c>
      <c r="F54" s="1"/>
      <c r="G54" s="1"/>
      <c r="H54" s="1">
        <f>B54*1.29+C54*1.12+D54*1+E54*0.9+F54*0.81+G54*0</f>
        <v>0</v>
      </c>
      <c r="K54" s="2" t="s">
        <v>154</v>
      </c>
      <c r="L54" s="1">
        <f>29</f>
        <v>29</v>
      </c>
    </row>
    <row r="55" spans="1:12" x14ac:dyDescent="0.25">
      <c r="A55" s="1" t="s">
        <v>44</v>
      </c>
      <c r="B55" s="1"/>
      <c r="C55" s="1"/>
      <c r="D55" s="1"/>
      <c r="E55" s="1">
        <v>0</v>
      </c>
      <c r="F55" s="1"/>
      <c r="G55" s="1"/>
      <c r="H55" s="1">
        <f>B55*1.22+C55*1.1+D55*1+E55*0.88+F55*0.81+G55*0</f>
        <v>0</v>
      </c>
      <c r="K55" s="2" t="s">
        <v>155</v>
      </c>
      <c r="L55" s="1">
        <f>32</f>
        <v>32</v>
      </c>
    </row>
    <row r="56" spans="1:12" x14ac:dyDescent="0.25">
      <c r="A56" s="1" t="s">
        <v>45</v>
      </c>
      <c r="B56" s="1"/>
      <c r="C56" s="1"/>
      <c r="D56" s="1"/>
      <c r="E56" s="1">
        <v>0</v>
      </c>
      <c r="F56" s="1"/>
      <c r="G56" s="1"/>
      <c r="H56" s="1">
        <f>B56*1.19+C56*1.09+D56*1+E56*0.91+F56*0.85+G56*0</f>
        <v>0</v>
      </c>
      <c r="K56" s="2" t="s">
        <v>156</v>
      </c>
      <c r="L56" s="1">
        <f>91</f>
        <v>91</v>
      </c>
    </row>
    <row r="57" spans="1:12" x14ac:dyDescent="0.25">
      <c r="A57" s="1" t="s">
        <v>46</v>
      </c>
      <c r="B57" s="1"/>
      <c r="C57" s="1"/>
      <c r="D57" s="1"/>
      <c r="E57" s="1">
        <v>0</v>
      </c>
      <c r="F57" s="1"/>
      <c r="G57" s="1"/>
      <c r="H57" s="1">
        <f>B57*1.2+C57*1.09+D57*1+E57*0.91+F57*0.84+G57*0</f>
        <v>0</v>
      </c>
      <c r="K57" s="2" t="s">
        <v>157</v>
      </c>
      <c r="L57" s="1">
        <f>105</f>
        <v>105</v>
      </c>
    </row>
    <row r="58" spans="1:12" x14ac:dyDescent="0.25">
      <c r="A58" s="1" t="s">
        <v>47</v>
      </c>
      <c r="B58" s="1"/>
      <c r="C58" s="1"/>
      <c r="D58" s="1"/>
      <c r="E58" s="1">
        <v>0</v>
      </c>
      <c r="F58" s="1"/>
      <c r="G58" s="1"/>
      <c r="H58" s="1">
        <f>B58*1.17+C58*1.09+D58*1+E58*0.9+F58*0.78+G58*0</f>
        <v>0</v>
      </c>
      <c r="K58" s="2" t="s">
        <v>158</v>
      </c>
      <c r="L58" s="1">
        <f>64</f>
        <v>64</v>
      </c>
    </row>
    <row r="59" spans="1:12" x14ac:dyDescent="0.25">
      <c r="A59" s="1" t="s">
        <v>48</v>
      </c>
      <c r="B59" s="1"/>
      <c r="C59" s="1"/>
      <c r="D59" s="1"/>
      <c r="E59" s="1">
        <v>0</v>
      </c>
      <c r="F59" s="1"/>
      <c r="G59" s="1"/>
      <c r="H59" s="1">
        <f>B59*1.22+C59*1.09+D59*1+E59*0.93+F59*0.86+G59*0.8</f>
        <v>0</v>
      </c>
      <c r="K59" s="2" t="s">
        <v>159</v>
      </c>
      <c r="L59" s="1">
        <f>105</f>
        <v>105</v>
      </c>
    </row>
    <row r="60" spans="1:12" x14ac:dyDescent="0.25">
      <c r="A60" s="1" t="s">
        <v>30</v>
      </c>
      <c r="B60" s="1"/>
      <c r="C60" s="1"/>
      <c r="D60" s="1"/>
      <c r="E60" s="1">
        <v>0</v>
      </c>
      <c r="F60" s="1"/>
      <c r="G60" s="1"/>
      <c r="H60" s="1">
        <f>B60*1.43+C60*1.14+D60*1+E60*1+F60*1+G60*0</f>
        <v>0</v>
      </c>
      <c r="K60" s="2" t="s">
        <v>160</v>
      </c>
      <c r="L60" s="1">
        <f>64</f>
        <v>64</v>
      </c>
    </row>
    <row r="61" spans="1:12" x14ac:dyDescent="0.25">
      <c r="G61" s="2" t="s">
        <v>176</v>
      </c>
      <c r="H61" s="2">
        <f>H44*H45*H46*H47*H48*H49*H50*H51*H52*H53*H54*H55*H56*H57*H58*H59*H60</f>
        <v>0</v>
      </c>
      <c r="K61" s="2" t="s">
        <v>161</v>
      </c>
      <c r="L61" s="1">
        <f>80</f>
        <v>80</v>
      </c>
    </row>
    <row r="62" spans="1:12" x14ac:dyDescent="0.25">
      <c r="A62" s="4" t="s">
        <v>56</v>
      </c>
      <c r="B62" s="4"/>
      <c r="C62" s="4"/>
      <c r="H62">
        <f>(H61*I60)</f>
        <v>0</v>
      </c>
      <c r="K62" s="2" t="s">
        <v>162</v>
      </c>
      <c r="L62" s="1">
        <f>91</f>
        <v>91</v>
      </c>
    </row>
    <row r="63" spans="1:12" x14ac:dyDescent="0.25">
      <c r="A63" s="2" t="s">
        <v>67</v>
      </c>
      <c r="B63" s="1">
        <f>B27*I40</f>
        <v>8.2922298357405566</v>
      </c>
      <c r="K63" s="2" t="s">
        <v>163</v>
      </c>
      <c r="L63" s="1">
        <f xml:space="preserve"> 64</f>
        <v>64</v>
      </c>
    </row>
    <row r="64" spans="1:12" x14ac:dyDescent="0.25">
      <c r="A64" s="2" t="s">
        <v>66</v>
      </c>
      <c r="B64" s="1">
        <f>B27*H61</f>
        <v>0</v>
      </c>
      <c r="K64" s="2" t="s">
        <v>164</v>
      </c>
      <c r="L64" s="1">
        <f xml:space="preserve"> 80</f>
        <v>80</v>
      </c>
    </row>
    <row r="65" spans="1:12" x14ac:dyDescent="0.25">
      <c r="K65" s="2" t="s">
        <v>165</v>
      </c>
      <c r="L65" s="1">
        <f xml:space="preserve"> 6</f>
        <v>6</v>
      </c>
    </row>
    <row r="67" spans="1:12" x14ac:dyDescent="0.25">
      <c r="A67" s="4" t="s">
        <v>51</v>
      </c>
    </row>
    <row r="68" spans="1:12" x14ac:dyDescent="0.25">
      <c r="A68" s="2" t="s">
        <v>55</v>
      </c>
      <c r="B68" s="1">
        <v>100</v>
      </c>
    </row>
    <row r="69" spans="1:12" x14ac:dyDescent="0.25">
      <c r="A69" s="51" t="s">
        <v>57</v>
      </c>
      <c r="B69" s="52">
        <f>(3.67*(B63^(0.28+0.2*(B71-1.01))))/(B68/100)</f>
        <v>7.0389291461643859</v>
      </c>
    </row>
    <row r="70" spans="1:12" x14ac:dyDescent="0.25">
      <c r="A70" s="2" t="s">
        <v>58</v>
      </c>
      <c r="B70" s="1">
        <f>(3.67*(B64^(0.28+0.2*(B71-1.01))))/(B68/100)</f>
        <v>0</v>
      </c>
    </row>
    <row r="71" spans="1:12" x14ac:dyDescent="0.25">
      <c r="A71" s="2" t="s">
        <v>52</v>
      </c>
      <c r="B71" s="1">
        <f>0.91 +( 0.01*H19)</f>
        <v>1.1494</v>
      </c>
    </row>
    <row r="73" spans="1:12" x14ac:dyDescent="0.25">
      <c r="A73" s="4" t="s">
        <v>53</v>
      </c>
      <c r="D73" t="s">
        <v>417</v>
      </c>
    </row>
    <row r="74" spans="1:12" x14ac:dyDescent="0.25">
      <c r="A74" s="51" t="s">
        <v>50</v>
      </c>
      <c r="B74" s="53">
        <f>B63/B69</f>
        <v>1.1780527497224649</v>
      </c>
    </row>
    <row r="75" spans="1:12" x14ac:dyDescent="0.25">
      <c r="A75" s="2" t="s">
        <v>54</v>
      </c>
      <c r="B75" s="1">
        <f>B64/(B70+0.1)</f>
        <v>0</v>
      </c>
    </row>
    <row r="77" spans="1:12" x14ac:dyDescent="0.25">
      <c r="A77" s="8"/>
    </row>
    <row r="78" spans="1:12" x14ac:dyDescent="0.25">
      <c r="A78" s="9" t="s">
        <v>177</v>
      </c>
    </row>
    <row r="79" spans="1:12" x14ac:dyDescent="0.25">
      <c r="A79" s="9"/>
    </row>
    <row r="80" spans="1:12" x14ac:dyDescent="0.25">
      <c r="A80" s="34" t="s">
        <v>203</v>
      </c>
      <c r="B80" s="4" t="s">
        <v>202</v>
      </c>
      <c r="C80" s="4"/>
    </row>
    <row r="81" spans="1:14" x14ac:dyDescent="0.25">
      <c r="A81" t="s">
        <v>207</v>
      </c>
      <c r="B81" t="s">
        <v>206</v>
      </c>
    </row>
    <row r="82" spans="1:14" x14ac:dyDescent="0.25">
      <c r="A82" t="s">
        <v>208</v>
      </c>
      <c r="B82" t="s">
        <v>209</v>
      </c>
    </row>
    <row r="83" spans="1:14" x14ac:dyDescent="0.25">
      <c r="A83" t="s">
        <v>210</v>
      </c>
      <c r="B83" t="s">
        <v>211</v>
      </c>
    </row>
    <row r="84" spans="1:14" x14ac:dyDescent="0.25">
      <c r="A84" s="9"/>
    </row>
    <row r="85" spans="1:14" x14ac:dyDescent="0.25">
      <c r="A85" s="9" t="s">
        <v>190</v>
      </c>
    </row>
    <row r="86" spans="1:14" x14ac:dyDescent="0.25">
      <c r="A86" s="2" t="s">
        <v>178</v>
      </c>
      <c r="B86" s="20" t="s">
        <v>179</v>
      </c>
      <c r="C86" s="20"/>
      <c r="D86" s="20"/>
      <c r="E86" s="20"/>
      <c r="F86" s="20"/>
      <c r="G86" s="20"/>
      <c r="H86" s="20"/>
      <c r="I86" s="20"/>
      <c r="J86" s="20"/>
      <c r="K86" s="20"/>
      <c r="L86" s="2" t="s">
        <v>187</v>
      </c>
    </row>
    <row r="87" spans="1:14" x14ac:dyDescent="0.25">
      <c r="A87" s="19" t="s">
        <v>180</v>
      </c>
      <c r="B87" s="24" t="s">
        <v>184</v>
      </c>
      <c r="C87" s="25"/>
      <c r="D87" s="25"/>
      <c r="E87" s="25"/>
      <c r="F87" s="25"/>
      <c r="G87" s="25"/>
      <c r="H87" s="25"/>
      <c r="I87" s="25"/>
      <c r="J87" s="25"/>
      <c r="K87" s="25"/>
      <c r="L87" s="31">
        <f>1</f>
        <v>1</v>
      </c>
    </row>
    <row r="88" spans="1:14" x14ac:dyDescent="0.25">
      <c r="A88" s="19" t="s">
        <v>181</v>
      </c>
      <c r="B88" s="24" t="s">
        <v>185</v>
      </c>
      <c r="C88" s="25"/>
      <c r="D88" s="25"/>
      <c r="E88" s="25"/>
      <c r="F88" s="25"/>
      <c r="G88" s="25"/>
      <c r="H88" s="25"/>
      <c r="I88" s="25"/>
      <c r="J88" s="25"/>
      <c r="K88" s="25"/>
      <c r="L88" s="31">
        <f>2</f>
        <v>2</v>
      </c>
    </row>
    <row r="89" spans="1:14" x14ac:dyDescent="0.25">
      <c r="A89" s="18" t="s">
        <v>183</v>
      </c>
      <c r="B89" s="26" t="s">
        <v>186</v>
      </c>
      <c r="C89" s="27"/>
      <c r="D89" s="27"/>
      <c r="E89" s="27"/>
      <c r="F89" s="27"/>
      <c r="G89" s="27"/>
      <c r="H89" s="27"/>
      <c r="I89" s="27"/>
      <c r="J89" s="27"/>
      <c r="K89" s="25"/>
      <c r="L89" s="31">
        <f>3</f>
        <v>3</v>
      </c>
    </row>
    <row r="90" spans="1:14" x14ac:dyDescent="0.25">
      <c r="A90" s="8"/>
      <c r="K90" s="32" t="s">
        <v>189</v>
      </c>
      <c r="L90" s="29" t="s">
        <v>188</v>
      </c>
      <c r="M90" s="29"/>
      <c r="N90" s="30"/>
    </row>
    <row r="91" spans="1:14" x14ac:dyDescent="0.25">
      <c r="A91" s="9" t="s">
        <v>201</v>
      </c>
    </row>
    <row r="92" spans="1:14" x14ac:dyDescent="0.25">
      <c r="A92" s="4" t="s">
        <v>191</v>
      </c>
    </row>
    <row r="93" spans="1:14" x14ac:dyDescent="0.25">
      <c r="A93" s="2" t="s">
        <v>192</v>
      </c>
      <c r="B93" s="20" t="s">
        <v>179</v>
      </c>
      <c r="C93" s="20"/>
      <c r="D93" s="20"/>
      <c r="E93" s="2" t="s">
        <v>187</v>
      </c>
    </row>
    <row r="94" spans="1:14" x14ac:dyDescent="0.25">
      <c r="A94" s="19" t="s">
        <v>193</v>
      </c>
      <c r="B94" s="6" t="s">
        <v>194</v>
      </c>
      <c r="C94" s="6"/>
      <c r="D94" s="6"/>
      <c r="E94" s="15">
        <v>5</v>
      </c>
    </row>
    <row r="95" spans="1:14" x14ac:dyDescent="0.25">
      <c r="A95" s="19" t="s">
        <v>181</v>
      </c>
      <c r="B95" s="6" t="s">
        <v>195</v>
      </c>
      <c r="C95" s="6"/>
      <c r="D95" s="6"/>
      <c r="E95" s="15">
        <v>10</v>
      </c>
    </row>
    <row r="96" spans="1:14" x14ac:dyDescent="0.25">
      <c r="A96" s="18" t="s">
        <v>182</v>
      </c>
      <c r="B96" s="12" t="s">
        <v>196</v>
      </c>
      <c r="C96" s="12"/>
      <c r="D96" s="12"/>
      <c r="E96" s="16">
        <v>15</v>
      </c>
    </row>
    <row r="97" spans="1:7" x14ac:dyDescent="0.25">
      <c r="A97" s="4" t="s">
        <v>197</v>
      </c>
    </row>
    <row r="98" spans="1:7" x14ac:dyDescent="0.25">
      <c r="A98" s="2" t="s">
        <v>192</v>
      </c>
      <c r="B98" s="20" t="s">
        <v>179</v>
      </c>
      <c r="C98" s="20"/>
      <c r="D98" s="20"/>
      <c r="E98" s="2" t="s">
        <v>187</v>
      </c>
    </row>
    <row r="99" spans="1:7" x14ac:dyDescent="0.25">
      <c r="A99" s="14" t="s">
        <v>193</v>
      </c>
      <c r="B99" s="33" t="s">
        <v>198</v>
      </c>
      <c r="C99" s="33"/>
      <c r="D99" s="28"/>
      <c r="E99" s="14">
        <v>5</v>
      </c>
    </row>
    <row r="100" spans="1:7" x14ac:dyDescent="0.25">
      <c r="A100" s="15" t="s">
        <v>181</v>
      </c>
      <c r="B100" s="25" t="s">
        <v>199</v>
      </c>
      <c r="C100" s="25"/>
      <c r="D100" s="6"/>
      <c r="E100" s="15">
        <v>10</v>
      </c>
    </row>
    <row r="101" spans="1:7" x14ac:dyDescent="0.25">
      <c r="A101" s="16" t="s">
        <v>182</v>
      </c>
      <c r="B101" s="27" t="s">
        <v>200</v>
      </c>
      <c r="C101" s="27"/>
      <c r="D101" s="12"/>
      <c r="E101" s="16">
        <v>15</v>
      </c>
    </row>
    <row r="102" spans="1:7" x14ac:dyDescent="0.25">
      <c r="C102" s="35" t="s">
        <v>204</v>
      </c>
      <c r="D102" s="36"/>
      <c r="E102" s="35"/>
      <c r="F102" s="36"/>
      <c r="G102" s="36"/>
    </row>
    <row r="105" spans="1:7" x14ac:dyDescent="0.25">
      <c r="A105" s="4" t="s">
        <v>205</v>
      </c>
    </row>
    <row r="107" spans="1:7" x14ac:dyDescent="0.25">
      <c r="A107" s="4" t="s">
        <v>220</v>
      </c>
      <c r="B107" s="4" t="s">
        <v>212</v>
      </c>
      <c r="C107" s="4"/>
      <c r="D107" t="s">
        <v>213</v>
      </c>
      <c r="E107" s="36" t="s">
        <v>214</v>
      </c>
      <c r="F107" s="36"/>
      <c r="G107" s="36"/>
    </row>
    <row r="108" spans="1:7" x14ac:dyDescent="0.25">
      <c r="D108" t="s">
        <v>215</v>
      </c>
      <c r="E108" t="s">
        <v>206</v>
      </c>
    </row>
    <row r="109" spans="1:7" x14ac:dyDescent="0.25">
      <c r="D109" t="s">
        <v>216</v>
      </c>
      <c r="E109" t="s">
        <v>218</v>
      </c>
    </row>
    <row r="110" spans="1:7" x14ac:dyDescent="0.25">
      <c r="D110" t="s">
        <v>217</v>
      </c>
      <c r="E110" t="s">
        <v>219</v>
      </c>
    </row>
    <row r="112" spans="1:7" x14ac:dyDescent="0.25">
      <c r="A112" s="4" t="s">
        <v>221</v>
      </c>
    </row>
    <row r="113" spans="1:8" x14ac:dyDescent="0.25">
      <c r="A113" s="2" t="s">
        <v>187</v>
      </c>
      <c r="B113" s="20" t="s">
        <v>222</v>
      </c>
      <c r="C113" s="20"/>
      <c r="D113" s="20"/>
      <c r="E113" s="20"/>
      <c r="F113" s="20"/>
      <c r="G113" s="20"/>
      <c r="H113" s="2" t="s">
        <v>249</v>
      </c>
    </row>
    <row r="114" spans="1:8" x14ac:dyDescent="0.25">
      <c r="A114" s="14" t="s">
        <v>223</v>
      </c>
      <c r="B114" s="24" t="s">
        <v>236</v>
      </c>
      <c r="C114" s="25"/>
      <c r="D114" s="25"/>
      <c r="E114" s="25"/>
      <c r="F114" s="25"/>
      <c r="G114" s="25"/>
      <c r="H114" s="15">
        <v>2</v>
      </c>
    </row>
    <row r="115" spans="1:8" x14ac:dyDescent="0.25">
      <c r="A115" s="15" t="s">
        <v>224</v>
      </c>
      <c r="B115" s="24" t="s">
        <v>237</v>
      </c>
      <c r="C115" s="25"/>
      <c r="D115" s="25"/>
      <c r="E115" s="25"/>
      <c r="F115" s="25"/>
      <c r="G115" s="25"/>
      <c r="H115" s="15">
        <v>1</v>
      </c>
    </row>
    <row r="116" spans="1:8" x14ac:dyDescent="0.25">
      <c r="A116" s="15" t="s">
        <v>225</v>
      </c>
      <c r="B116" s="24" t="s">
        <v>238</v>
      </c>
      <c r="C116" s="25"/>
      <c r="D116" s="25"/>
      <c r="E116" s="25"/>
      <c r="F116" s="25"/>
      <c r="G116" s="25"/>
      <c r="H116" s="15">
        <v>1</v>
      </c>
    </row>
    <row r="117" spans="1:8" x14ac:dyDescent="0.25">
      <c r="A117" s="15" t="s">
        <v>226</v>
      </c>
      <c r="B117" s="24" t="s">
        <v>239</v>
      </c>
      <c r="C117" s="25"/>
      <c r="D117" s="25"/>
      <c r="E117" s="25"/>
      <c r="F117" s="25"/>
      <c r="G117" s="25"/>
      <c r="H117" s="15">
        <v>1</v>
      </c>
    </row>
    <row r="118" spans="1:8" x14ac:dyDescent="0.25">
      <c r="A118" s="15" t="s">
        <v>227</v>
      </c>
      <c r="B118" s="24" t="s">
        <v>240</v>
      </c>
      <c r="C118" s="25"/>
      <c r="D118" s="25"/>
      <c r="E118" s="25"/>
      <c r="F118" s="25"/>
      <c r="G118" s="25"/>
      <c r="H118" s="15">
        <v>1</v>
      </c>
    </row>
    <row r="119" spans="1:8" x14ac:dyDescent="0.25">
      <c r="A119" s="15" t="s">
        <v>228</v>
      </c>
      <c r="B119" s="24" t="s">
        <v>241</v>
      </c>
      <c r="C119" s="25"/>
      <c r="D119" s="25"/>
      <c r="E119" s="25"/>
      <c r="F119" s="25"/>
      <c r="G119" s="25"/>
      <c r="H119" s="15">
        <v>0.5</v>
      </c>
    </row>
    <row r="120" spans="1:8" x14ac:dyDescent="0.25">
      <c r="A120" s="15" t="s">
        <v>229</v>
      </c>
      <c r="B120" s="24" t="s">
        <v>242</v>
      </c>
      <c r="C120" s="25"/>
      <c r="D120" s="25"/>
      <c r="E120" s="25"/>
      <c r="F120" s="25"/>
      <c r="G120" s="25"/>
      <c r="H120" s="15">
        <v>0.5</v>
      </c>
    </row>
    <row r="121" spans="1:8" x14ac:dyDescent="0.25">
      <c r="A121" s="15" t="s">
        <v>230</v>
      </c>
      <c r="B121" s="24" t="s">
        <v>243</v>
      </c>
      <c r="C121" s="25"/>
      <c r="D121" s="25"/>
      <c r="E121" s="25"/>
      <c r="F121" s="25"/>
      <c r="G121" s="25"/>
      <c r="H121" s="15">
        <v>2</v>
      </c>
    </row>
    <row r="122" spans="1:8" x14ac:dyDescent="0.25">
      <c r="A122" s="15" t="s">
        <v>231</v>
      </c>
      <c r="B122" s="24" t="s">
        <v>244</v>
      </c>
      <c r="C122" s="25"/>
      <c r="D122" s="25"/>
      <c r="E122" s="25"/>
      <c r="F122" s="25"/>
      <c r="G122" s="25"/>
      <c r="H122" s="15">
        <v>1</v>
      </c>
    </row>
    <row r="123" spans="1:8" x14ac:dyDescent="0.25">
      <c r="A123" s="15" t="s">
        <v>232</v>
      </c>
      <c r="B123" s="24" t="s">
        <v>245</v>
      </c>
      <c r="C123" s="25"/>
      <c r="D123" s="25"/>
      <c r="E123" s="25"/>
      <c r="F123" s="25"/>
      <c r="G123" s="25"/>
      <c r="H123" s="15">
        <v>1</v>
      </c>
    </row>
    <row r="124" spans="1:8" x14ac:dyDescent="0.25">
      <c r="A124" s="15" t="s">
        <v>233</v>
      </c>
      <c r="B124" s="24" t="s">
        <v>246</v>
      </c>
      <c r="C124" s="25"/>
      <c r="D124" s="25"/>
      <c r="E124" s="25"/>
      <c r="F124" s="25"/>
      <c r="G124" s="25"/>
      <c r="H124" s="15">
        <v>1</v>
      </c>
    </row>
    <row r="125" spans="1:8" x14ac:dyDescent="0.25">
      <c r="A125" s="15" t="s">
        <v>234</v>
      </c>
      <c r="B125" s="24" t="s">
        <v>247</v>
      </c>
      <c r="C125" s="25"/>
      <c r="D125" s="25"/>
      <c r="E125" s="25"/>
      <c r="F125" s="25"/>
      <c r="G125" s="25"/>
      <c r="H125" s="15">
        <v>1</v>
      </c>
    </row>
    <row r="126" spans="1:8" x14ac:dyDescent="0.25">
      <c r="A126" s="16" t="s">
        <v>235</v>
      </c>
      <c r="B126" s="26" t="s">
        <v>248</v>
      </c>
      <c r="C126" s="27"/>
      <c r="D126" s="27"/>
      <c r="E126" s="27"/>
      <c r="F126" s="27"/>
      <c r="G126" s="27"/>
      <c r="H126" s="16">
        <v>1</v>
      </c>
    </row>
    <row r="128" spans="1:8" x14ac:dyDescent="0.25">
      <c r="A128" s="4" t="s">
        <v>250</v>
      </c>
      <c r="B128" s="4"/>
    </row>
    <row r="129" spans="1:11" x14ac:dyDescent="0.25">
      <c r="A129" s="2" t="s">
        <v>179</v>
      </c>
      <c r="B129" s="21" t="s">
        <v>251</v>
      </c>
      <c r="D129" s="4" t="s">
        <v>256</v>
      </c>
      <c r="E129" s="4" t="s">
        <v>257</v>
      </c>
      <c r="F129" s="4"/>
    </row>
    <row r="130" spans="1:11" x14ac:dyDescent="0.25">
      <c r="A130" s="15" t="s">
        <v>252</v>
      </c>
      <c r="B130" s="11" t="s">
        <v>254</v>
      </c>
      <c r="D130" s="4" t="s">
        <v>258</v>
      </c>
      <c r="E130" s="4" t="s">
        <v>259</v>
      </c>
      <c r="F130" s="4"/>
    </row>
    <row r="131" spans="1:11" x14ac:dyDescent="0.25">
      <c r="A131" s="15" t="s">
        <v>181</v>
      </c>
      <c r="B131" s="11" t="s">
        <v>255</v>
      </c>
    </row>
    <row r="132" spans="1:11" x14ac:dyDescent="0.25">
      <c r="A132" s="16" t="s">
        <v>253</v>
      </c>
      <c r="B132" s="13">
        <v>5</v>
      </c>
    </row>
    <row r="134" spans="1:11" x14ac:dyDescent="0.25">
      <c r="A134" s="4" t="s">
        <v>260</v>
      </c>
    </row>
    <row r="135" spans="1:11" x14ac:dyDescent="0.25">
      <c r="A135" s="2" t="s">
        <v>261</v>
      </c>
      <c r="B135" s="20" t="s">
        <v>179</v>
      </c>
      <c r="C135" s="20"/>
      <c r="D135" s="20"/>
      <c r="E135" s="20"/>
      <c r="F135" s="20"/>
      <c r="G135" s="2" t="s">
        <v>249</v>
      </c>
      <c r="I135" s="4" t="s">
        <v>278</v>
      </c>
      <c r="J135" s="4" t="s">
        <v>279</v>
      </c>
      <c r="K135" s="4"/>
    </row>
    <row r="136" spans="1:11" x14ac:dyDescent="0.25">
      <c r="A136" s="15" t="s">
        <v>262</v>
      </c>
      <c r="B136" s="24" t="s">
        <v>270</v>
      </c>
      <c r="C136" s="25"/>
      <c r="D136" s="25"/>
      <c r="E136" s="25"/>
      <c r="F136" s="25"/>
      <c r="G136" s="15">
        <v>1.5</v>
      </c>
      <c r="I136" s="4" t="s">
        <v>280</v>
      </c>
      <c r="J136" s="4" t="s">
        <v>281</v>
      </c>
      <c r="K136" s="4"/>
    </row>
    <row r="137" spans="1:11" x14ac:dyDescent="0.25">
      <c r="A137" s="15" t="s">
        <v>263</v>
      </c>
      <c r="B137" s="24" t="s">
        <v>271</v>
      </c>
      <c r="C137" s="25"/>
      <c r="D137" s="25"/>
      <c r="E137" s="25"/>
      <c r="F137" s="25"/>
      <c r="G137" s="15">
        <v>0.5</v>
      </c>
    </row>
    <row r="138" spans="1:11" x14ac:dyDescent="0.25">
      <c r="A138" s="15" t="s">
        <v>264</v>
      </c>
      <c r="B138" s="24" t="s">
        <v>272</v>
      </c>
      <c r="C138" s="25"/>
      <c r="D138" s="25"/>
      <c r="E138" s="25"/>
      <c r="F138" s="25"/>
      <c r="G138" s="15">
        <v>1</v>
      </c>
    </row>
    <row r="139" spans="1:11" x14ac:dyDescent="0.25">
      <c r="A139" s="15" t="s">
        <v>265</v>
      </c>
      <c r="B139" s="24" t="s">
        <v>273</v>
      </c>
      <c r="C139" s="25"/>
      <c r="D139" s="25"/>
      <c r="E139" s="25"/>
      <c r="F139" s="25"/>
      <c r="G139" s="15">
        <v>0.5</v>
      </c>
    </row>
    <row r="140" spans="1:11" x14ac:dyDescent="0.25">
      <c r="A140" s="15" t="s">
        <v>266</v>
      </c>
      <c r="B140" s="24" t="s">
        <v>274</v>
      </c>
      <c r="C140" s="25"/>
      <c r="D140" s="25"/>
      <c r="E140" s="25"/>
      <c r="F140" s="25"/>
      <c r="G140" s="15">
        <v>1</v>
      </c>
    </row>
    <row r="141" spans="1:11" x14ac:dyDescent="0.25">
      <c r="A141" s="15" t="s">
        <v>267</v>
      </c>
      <c r="B141" s="24" t="s">
        <v>275</v>
      </c>
      <c r="C141" s="25"/>
      <c r="D141" s="25"/>
      <c r="E141" s="25"/>
      <c r="F141" s="25"/>
      <c r="G141" s="15">
        <v>2</v>
      </c>
    </row>
    <row r="142" spans="1:11" x14ac:dyDescent="0.25">
      <c r="A142" s="15" t="s">
        <v>268</v>
      </c>
      <c r="B142" s="24" t="s">
        <v>276</v>
      </c>
      <c r="C142" s="25"/>
      <c r="D142" s="25"/>
      <c r="E142" s="25"/>
      <c r="F142" s="25"/>
      <c r="G142" s="15">
        <v>-1</v>
      </c>
    </row>
    <row r="143" spans="1:11" x14ac:dyDescent="0.25">
      <c r="A143" s="16" t="s">
        <v>269</v>
      </c>
      <c r="B143" s="26" t="s">
        <v>404</v>
      </c>
      <c r="C143" s="27"/>
      <c r="D143" s="27"/>
      <c r="E143" s="27"/>
      <c r="F143" s="27"/>
      <c r="G143" s="16">
        <v>-1</v>
      </c>
    </row>
    <row r="144" spans="1:11" x14ac:dyDescent="0.25">
      <c r="A144" s="35" t="s">
        <v>277</v>
      </c>
      <c r="B144" s="36"/>
      <c r="C144" s="36"/>
      <c r="D144" s="36"/>
      <c r="E144" s="36"/>
    </row>
    <row r="146" spans="1:5" x14ac:dyDescent="0.25">
      <c r="A146" s="4" t="s">
        <v>282</v>
      </c>
    </row>
    <row r="147" spans="1:5" x14ac:dyDescent="0.25">
      <c r="A147" s="2" t="s">
        <v>187</v>
      </c>
      <c r="B147" s="21" t="s">
        <v>283</v>
      </c>
    </row>
    <row r="148" spans="1:5" x14ac:dyDescent="0.25">
      <c r="A148" s="15" t="s">
        <v>284</v>
      </c>
      <c r="B148" s="11" t="s">
        <v>286</v>
      </c>
    </row>
    <row r="149" spans="1:5" x14ac:dyDescent="0.25">
      <c r="A149" s="16" t="s">
        <v>285</v>
      </c>
      <c r="B149" s="13" t="s">
        <v>287</v>
      </c>
    </row>
    <row r="151" spans="1:5" x14ac:dyDescent="0.25">
      <c r="A151" s="35" t="s">
        <v>288</v>
      </c>
      <c r="B151" s="36"/>
      <c r="C151" s="36"/>
      <c r="D151" s="36"/>
    </row>
    <row r="153" spans="1:5" x14ac:dyDescent="0.25">
      <c r="A153" s="2" t="s">
        <v>289</v>
      </c>
      <c r="B153" s="20" t="s">
        <v>179</v>
      </c>
      <c r="C153" s="21"/>
    </row>
    <row r="154" spans="1:5" x14ac:dyDescent="0.25">
      <c r="A154" s="15">
        <v>20</v>
      </c>
      <c r="B154" s="24" t="s">
        <v>290</v>
      </c>
      <c r="C154" s="37"/>
    </row>
    <row r="155" spans="1:5" x14ac:dyDescent="0.25">
      <c r="A155" s="15">
        <v>28</v>
      </c>
      <c r="B155" s="24" t="s">
        <v>291</v>
      </c>
      <c r="C155" s="37"/>
    </row>
    <row r="156" spans="1:5" x14ac:dyDescent="0.25">
      <c r="A156" s="16">
        <v>36</v>
      </c>
      <c r="B156" s="27" t="s">
        <v>292</v>
      </c>
      <c r="C156" s="38"/>
    </row>
    <row r="157" spans="1:5" x14ac:dyDescent="0.25">
      <c r="E157" s="4"/>
    </row>
    <row r="158" spans="1:5" x14ac:dyDescent="0.25">
      <c r="A158" s="35" t="s">
        <v>293</v>
      </c>
      <c r="B158" s="36"/>
      <c r="C158" s="4" t="s">
        <v>294</v>
      </c>
      <c r="D158" s="4" t="s">
        <v>295</v>
      </c>
    </row>
    <row r="159" spans="1:5" x14ac:dyDescent="0.25">
      <c r="A159" t="s">
        <v>296</v>
      </c>
      <c r="B159" t="s">
        <v>305</v>
      </c>
    </row>
    <row r="160" spans="1:5" x14ac:dyDescent="0.25">
      <c r="A160" t="s">
        <v>297</v>
      </c>
      <c r="B160" t="s">
        <v>307</v>
      </c>
    </row>
    <row r="161" spans="1:7" x14ac:dyDescent="0.25">
      <c r="A161" t="s">
        <v>298</v>
      </c>
      <c r="B161" t="s">
        <v>306</v>
      </c>
    </row>
    <row r="163" spans="1:7" x14ac:dyDescent="0.25">
      <c r="A163" s="35" t="s">
        <v>308</v>
      </c>
      <c r="B163" s="36"/>
      <c r="C163" s="36"/>
      <c r="D163" s="36"/>
      <c r="E163" s="36"/>
      <c r="F163" s="36"/>
      <c r="G163" s="36"/>
    </row>
    <row r="165" spans="1:7" x14ac:dyDescent="0.25">
      <c r="A165" s="2" t="s">
        <v>299</v>
      </c>
      <c r="B165" s="20" t="s">
        <v>309</v>
      </c>
      <c r="C165" s="21"/>
    </row>
    <row r="166" spans="1:7" x14ac:dyDescent="0.25">
      <c r="A166" s="15" t="s">
        <v>300</v>
      </c>
      <c r="B166" s="6">
        <v>10</v>
      </c>
      <c r="C166" s="11"/>
    </row>
    <row r="167" spans="1:7" x14ac:dyDescent="0.25">
      <c r="A167" s="15" t="s">
        <v>301</v>
      </c>
      <c r="B167" s="6">
        <v>20</v>
      </c>
      <c r="C167" s="11"/>
    </row>
    <row r="168" spans="1:7" x14ac:dyDescent="0.25">
      <c r="A168" s="15" t="s">
        <v>302</v>
      </c>
      <c r="B168" s="6">
        <v>40</v>
      </c>
      <c r="C168" s="11"/>
    </row>
    <row r="169" spans="1:7" x14ac:dyDescent="0.25">
      <c r="A169" s="15" t="s">
        <v>303</v>
      </c>
      <c r="B169" s="6">
        <v>15</v>
      </c>
      <c r="C169" s="11"/>
    </row>
    <row r="170" spans="1:7" x14ac:dyDescent="0.25">
      <c r="A170" s="16" t="s">
        <v>304</v>
      </c>
      <c r="B170" s="12">
        <v>15</v>
      </c>
      <c r="C170" s="13"/>
    </row>
  </sheetData>
  <pageMargins left="0.7" right="0.7" top="0.75" bottom="0.75" header="0.3" footer="0.3"/>
  <pageSetup paperSize="9" orientation="portrait" horizontalDpi="200" verticalDpi="200" r:id="rId1"/>
  <ignoredErrors>
    <ignoredError sqref="L58:L5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opLeftCell="A127" workbookViewId="0">
      <selection activeCell="D132" sqref="D132"/>
    </sheetView>
  </sheetViews>
  <sheetFormatPr baseColWidth="10" defaultRowHeight="15" x14ac:dyDescent="0.25"/>
  <cols>
    <col min="2" max="2" width="11.42578125" customWidth="1"/>
    <col min="8" max="8" width="11.42578125" customWidth="1"/>
  </cols>
  <sheetData>
    <row r="1" spans="1:2" x14ac:dyDescent="0.25">
      <c r="A1" s="40" t="s">
        <v>310</v>
      </c>
      <c r="B1" s="40"/>
    </row>
    <row r="3" spans="1:2" ht="15.75" x14ac:dyDescent="0.25">
      <c r="A3" s="39" t="s">
        <v>311</v>
      </c>
    </row>
    <row r="4" spans="1:2" x14ac:dyDescent="0.25">
      <c r="A4" t="s">
        <v>312</v>
      </c>
    </row>
    <row r="5" spans="1:2" x14ac:dyDescent="0.25">
      <c r="A5" t="s">
        <v>313</v>
      </c>
    </row>
    <row r="6" spans="1:2" x14ac:dyDescent="0.25">
      <c r="A6" t="s">
        <v>314</v>
      </c>
    </row>
    <row r="7" spans="1:2" x14ac:dyDescent="0.25">
      <c r="A7" t="s">
        <v>315</v>
      </c>
    </row>
    <row r="9" spans="1:2" x14ac:dyDescent="0.25">
      <c r="A9" t="s">
        <v>316</v>
      </c>
    </row>
    <row r="11" spans="1:2" x14ac:dyDescent="0.25">
      <c r="A11" t="s">
        <v>317</v>
      </c>
      <c r="B11" t="s">
        <v>318</v>
      </c>
    </row>
    <row r="12" spans="1:2" x14ac:dyDescent="0.25">
      <c r="A12" t="s">
        <v>319</v>
      </c>
    </row>
    <row r="13" spans="1:2" x14ac:dyDescent="0.25">
      <c r="A13" t="s">
        <v>320</v>
      </c>
    </row>
    <row r="14" spans="1:2" x14ac:dyDescent="0.25">
      <c r="A14" t="s">
        <v>321</v>
      </c>
    </row>
    <row r="15" spans="1:2" x14ac:dyDescent="0.25">
      <c r="A15" t="s">
        <v>322</v>
      </c>
    </row>
    <row r="16" spans="1:2" x14ac:dyDescent="0.25">
      <c r="A16" t="s">
        <v>323</v>
      </c>
    </row>
    <row r="17" spans="1:1" x14ac:dyDescent="0.25">
      <c r="A17" t="s">
        <v>324</v>
      </c>
    </row>
    <row r="18" spans="1:1" x14ac:dyDescent="0.25">
      <c r="A18" t="s">
        <v>325</v>
      </c>
    </row>
    <row r="19" spans="1:1" x14ac:dyDescent="0.25">
      <c r="A19" t="s">
        <v>326</v>
      </c>
    </row>
    <row r="20" spans="1:1" x14ac:dyDescent="0.25">
      <c r="A20" t="s">
        <v>327</v>
      </c>
    </row>
    <row r="21" spans="1:1" x14ac:dyDescent="0.25">
      <c r="A21" t="s">
        <v>328</v>
      </c>
    </row>
    <row r="22" spans="1:1" x14ac:dyDescent="0.25">
      <c r="A22" t="s">
        <v>329</v>
      </c>
    </row>
    <row r="23" spans="1:1" x14ac:dyDescent="0.25">
      <c r="A23" t="s">
        <v>330</v>
      </c>
    </row>
    <row r="24" spans="1:1" x14ac:dyDescent="0.25">
      <c r="A24" t="s">
        <v>331</v>
      </c>
    </row>
    <row r="25" spans="1:1" x14ac:dyDescent="0.25">
      <c r="A25" t="s">
        <v>332</v>
      </c>
    </row>
    <row r="26" spans="1:1" x14ac:dyDescent="0.25">
      <c r="A26" t="s">
        <v>333</v>
      </c>
    </row>
    <row r="27" spans="1:1" x14ac:dyDescent="0.25">
      <c r="A27" t="s">
        <v>334</v>
      </c>
    </row>
    <row r="28" spans="1:1" x14ac:dyDescent="0.25">
      <c r="A28" t="s">
        <v>335</v>
      </c>
    </row>
    <row r="29" spans="1:1" x14ac:dyDescent="0.25">
      <c r="A29" t="s">
        <v>336</v>
      </c>
    </row>
    <row r="30" spans="1:1" x14ac:dyDescent="0.25">
      <c r="A30" t="s">
        <v>337</v>
      </c>
    </row>
    <row r="31" spans="1:1" x14ac:dyDescent="0.25">
      <c r="A31" t="s">
        <v>338</v>
      </c>
    </row>
    <row r="32" spans="1:1" x14ac:dyDescent="0.25">
      <c r="A32" t="s">
        <v>339</v>
      </c>
    </row>
    <row r="34" spans="1:2" x14ac:dyDescent="0.25">
      <c r="A34" t="s">
        <v>340</v>
      </c>
    </row>
    <row r="35" spans="1:2" x14ac:dyDescent="0.25">
      <c r="A35" t="s">
        <v>341</v>
      </c>
      <c r="B35" t="s">
        <v>342</v>
      </c>
    </row>
    <row r="36" spans="1:2" x14ac:dyDescent="0.25">
      <c r="A36" t="s">
        <v>343</v>
      </c>
    </row>
    <row r="37" spans="1:2" x14ac:dyDescent="0.25">
      <c r="A37" t="s">
        <v>344</v>
      </c>
    </row>
    <row r="38" spans="1:2" x14ac:dyDescent="0.25">
      <c r="A38" t="s">
        <v>345</v>
      </c>
    </row>
    <row r="39" spans="1:2" x14ac:dyDescent="0.25">
      <c r="A39" t="s">
        <v>346</v>
      </c>
    </row>
    <row r="44" spans="1:2" x14ac:dyDescent="0.25">
      <c r="A44" s="42" t="s">
        <v>347</v>
      </c>
      <c r="B44" s="42"/>
    </row>
    <row r="51" spans="1:2" x14ac:dyDescent="0.25">
      <c r="B51" t="s">
        <v>352</v>
      </c>
    </row>
    <row r="53" spans="1:2" x14ac:dyDescent="0.25">
      <c r="A53" t="s">
        <v>348</v>
      </c>
    </row>
    <row r="54" spans="1:2" x14ac:dyDescent="0.25">
      <c r="A54" t="s">
        <v>349</v>
      </c>
    </row>
    <row r="55" spans="1:2" x14ac:dyDescent="0.25">
      <c r="A55" t="s">
        <v>350</v>
      </c>
    </row>
    <row r="56" spans="1:2" x14ac:dyDescent="0.25">
      <c r="A56" t="s">
        <v>351</v>
      </c>
    </row>
    <row r="58" spans="1:2" x14ac:dyDescent="0.25">
      <c r="A58" t="s">
        <v>353</v>
      </c>
    </row>
    <row r="59" spans="1:2" x14ac:dyDescent="0.25">
      <c r="A59" t="s">
        <v>354</v>
      </c>
    </row>
    <row r="60" spans="1:2" x14ac:dyDescent="0.25">
      <c r="A60" t="s">
        <v>355</v>
      </c>
    </row>
    <row r="61" spans="1:2" x14ac:dyDescent="0.25">
      <c r="A61" t="s">
        <v>356</v>
      </c>
    </row>
    <row r="62" spans="1:2" x14ac:dyDescent="0.25">
      <c r="A62" t="s">
        <v>357</v>
      </c>
    </row>
    <row r="63" spans="1:2" x14ac:dyDescent="0.25">
      <c r="A63" t="s">
        <v>358</v>
      </c>
    </row>
    <row r="64" spans="1:2" x14ac:dyDescent="0.25">
      <c r="A64" t="s">
        <v>359</v>
      </c>
    </row>
    <row r="65" spans="1:2" x14ac:dyDescent="0.25">
      <c r="A65" t="s">
        <v>360</v>
      </c>
    </row>
    <row r="66" spans="1:2" x14ac:dyDescent="0.25">
      <c r="A66" t="s">
        <v>361</v>
      </c>
    </row>
    <row r="67" spans="1:2" x14ac:dyDescent="0.25">
      <c r="A67" t="s">
        <v>362</v>
      </c>
    </row>
    <row r="68" spans="1:2" x14ac:dyDescent="0.25">
      <c r="A68" t="s">
        <v>363</v>
      </c>
    </row>
    <row r="70" spans="1:2" x14ac:dyDescent="0.25">
      <c r="B70" s="41" t="s">
        <v>364</v>
      </c>
    </row>
    <row r="72" spans="1:2" x14ac:dyDescent="0.25">
      <c r="A72" s="42" t="s">
        <v>365</v>
      </c>
      <c r="B72" s="42"/>
    </row>
    <row r="75" spans="1:2" x14ac:dyDescent="0.25">
      <c r="A75" t="s">
        <v>366</v>
      </c>
    </row>
    <row r="77" spans="1:2" x14ac:dyDescent="0.25">
      <c r="A77" t="s">
        <v>367</v>
      </c>
    </row>
    <row r="79" spans="1:2" x14ac:dyDescent="0.25">
      <c r="A79" t="s">
        <v>368</v>
      </c>
    </row>
    <row r="81" spans="1:1" x14ac:dyDescent="0.25">
      <c r="A81" t="s">
        <v>369</v>
      </c>
    </row>
    <row r="83" spans="1:1" x14ac:dyDescent="0.25">
      <c r="A83" t="s">
        <v>370</v>
      </c>
    </row>
    <row r="84" spans="1:1" x14ac:dyDescent="0.25">
      <c r="A84" s="43" t="s">
        <v>371</v>
      </c>
    </row>
    <row r="85" spans="1:1" x14ac:dyDescent="0.25">
      <c r="A85" s="43" t="s">
        <v>372</v>
      </c>
    </row>
    <row r="86" spans="1:1" x14ac:dyDescent="0.25">
      <c r="A86" s="43" t="s">
        <v>373</v>
      </c>
    </row>
    <row r="87" spans="1:1" x14ac:dyDescent="0.25">
      <c r="A87" s="43" t="s">
        <v>374</v>
      </c>
    </row>
    <row r="88" spans="1:1" x14ac:dyDescent="0.25">
      <c r="A88" s="43" t="s">
        <v>375</v>
      </c>
    </row>
    <row r="89" spans="1:1" x14ac:dyDescent="0.25">
      <c r="A89" s="43" t="s">
        <v>376</v>
      </c>
    </row>
    <row r="90" spans="1:1" x14ac:dyDescent="0.25">
      <c r="A90" s="43" t="s">
        <v>377</v>
      </c>
    </row>
    <row r="91" spans="1:1" x14ac:dyDescent="0.25">
      <c r="A91" s="43"/>
    </row>
    <row r="92" spans="1:1" x14ac:dyDescent="0.25">
      <c r="A92" t="s">
        <v>378</v>
      </c>
    </row>
    <row r="93" spans="1:1" x14ac:dyDescent="0.25">
      <c r="A93" s="43" t="s">
        <v>379</v>
      </c>
    </row>
    <row r="94" spans="1:1" x14ac:dyDescent="0.25">
      <c r="A94" s="43" t="s">
        <v>380</v>
      </c>
    </row>
    <row r="95" spans="1:1" x14ac:dyDescent="0.25">
      <c r="A95" s="43" t="s">
        <v>381</v>
      </c>
    </row>
    <row r="96" spans="1:1" x14ac:dyDescent="0.25">
      <c r="A96" s="43" t="s">
        <v>382</v>
      </c>
    </row>
    <row r="97" spans="1:4" x14ac:dyDescent="0.25">
      <c r="A97" s="43" t="s">
        <v>383</v>
      </c>
    </row>
    <row r="98" spans="1:4" x14ac:dyDescent="0.25">
      <c r="A98" s="43" t="s">
        <v>384</v>
      </c>
    </row>
    <row r="99" spans="1:4" x14ac:dyDescent="0.25">
      <c r="A99" s="43" t="s">
        <v>385</v>
      </c>
    </row>
    <row r="100" spans="1:4" x14ac:dyDescent="0.25">
      <c r="A100" s="43" t="s">
        <v>386</v>
      </c>
    </row>
    <row r="101" spans="1:4" x14ac:dyDescent="0.25">
      <c r="A101" s="43" t="s">
        <v>387</v>
      </c>
    </row>
    <row r="102" spans="1:4" x14ac:dyDescent="0.25">
      <c r="A102" s="43" t="s">
        <v>388</v>
      </c>
    </row>
    <row r="103" spans="1:4" x14ac:dyDescent="0.25">
      <c r="A103" s="43" t="s">
        <v>389</v>
      </c>
    </row>
    <row r="104" spans="1:4" x14ac:dyDescent="0.25">
      <c r="A104" s="43" t="s">
        <v>390</v>
      </c>
    </row>
    <row r="105" spans="1:4" x14ac:dyDescent="0.25">
      <c r="A105" s="43" t="s">
        <v>391</v>
      </c>
    </row>
    <row r="106" spans="1:4" x14ac:dyDescent="0.25">
      <c r="A106" s="43" t="s">
        <v>392</v>
      </c>
    </row>
    <row r="107" spans="1:4" x14ac:dyDescent="0.25">
      <c r="A107" s="43" t="s">
        <v>393</v>
      </c>
    </row>
    <row r="108" spans="1:4" x14ac:dyDescent="0.25">
      <c r="A108" s="43" t="s">
        <v>394</v>
      </c>
    </row>
    <row r="109" spans="1:4" x14ac:dyDescent="0.25">
      <c r="A109" s="43" t="s">
        <v>395</v>
      </c>
    </row>
    <row r="110" spans="1:4" x14ac:dyDescent="0.25">
      <c r="A110" s="44"/>
    </row>
    <row r="112" spans="1:4" x14ac:dyDescent="0.25">
      <c r="A112" s="46" t="s">
        <v>396</v>
      </c>
      <c r="B112" s="47"/>
      <c r="C112" s="47"/>
      <c r="D112" s="47"/>
    </row>
    <row r="114" spans="1:4" x14ac:dyDescent="0.25">
      <c r="C114" t="s">
        <v>397</v>
      </c>
      <c r="D114" t="s">
        <v>398</v>
      </c>
    </row>
    <row r="116" spans="1:4" x14ac:dyDescent="0.25">
      <c r="A116" t="s">
        <v>399</v>
      </c>
    </row>
    <row r="117" spans="1:4" x14ac:dyDescent="0.25">
      <c r="A117" s="45"/>
    </row>
    <row r="118" spans="1:4" x14ac:dyDescent="0.25">
      <c r="A118" t="s">
        <v>400</v>
      </c>
    </row>
    <row r="121" spans="1:4" x14ac:dyDescent="0.25">
      <c r="A121" s="45" t="s">
        <v>401</v>
      </c>
    </row>
    <row r="125" spans="1:4" x14ac:dyDescent="0.25">
      <c r="A125" s="45" t="s">
        <v>402</v>
      </c>
    </row>
    <row r="128" spans="1:4" x14ac:dyDescent="0.25">
      <c r="A128" t="s">
        <v>403</v>
      </c>
    </row>
    <row r="132" spans="1:1" x14ac:dyDescent="0.25">
      <c r="A132" t="s">
        <v>402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</dc:creator>
  <cp:lastModifiedBy>Bruno Silva</cp:lastModifiedBy>
  <dcterms:created xsi:type="dcterms:W3CDTF">2014-04-07T19:47:47Z</dcterms:created>
  <dcterms:modified xsi:type="dcterms:W3CDTF">2016-08-26T23:31:28Z</dcterms:modified>
</cp:coreProperties>
</file>