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workbookProtection lockStructure="1"/>
  <bookViews>
    <workbookView xWindow="240" yWindow="75" windowWidth="18855" windowHeight="11760"/>
  </bookViews>
  <sheets>
    <sheet name="RA v4" sheetId="1" r:id="rId1"/>
    <sheet name="Categories" sheetId="2" r:id="rId2"/>
  </sheets>
  <calcPr calcId="124519"/>
</workbook>
</file>

<file path=xl/calcChain.xml><?xml version="1.0" encoding="utf-8"?>
<calcChain xmlns="http://schemas.openxmlformats.org/spreadsheetml/2006/main">
  <c r="C15" i="2"/>
  <c r="C14"/>
  <c r="C13"/>
  <c r="C12"/>
  <c r="C11"/>
  <c r="C10"/>
  <c r="C9"/>
  <c r="C8"/>
  <c r="C6"/>
  <c r="C5"/>
  <c r="C4"/>
  <c r="R14" i="1"/>
  <c r="N14"/>
  <c r="G14"/>
  <c r="H14" s="1"/>
  <c r="N13"/>
  <c r="G13"/>
  <c r="J13" s="1"/>
  <c r="H13" s="1"/>
  <c r="R12"/>
  <c r="N12"/>
  <c r="G12"/>
  <c r="N11"/>
  <c r="G11"/>
  <c r="H11" s="1"/>
  <c r="N10"/>
  <c r="R10" s="1"/>
  <c r="G10"/>
  <c r="N9"/>
  <c r="G9"/>
  <c r="N8"/>
  <c r="R8" s="1"/>
  <c r="H8"/>
  <c r="G8"/>
  <c r="J8" s="1"/>
  <c r="N7"/>
  <c r="G7"/>
  <c r="J7" s="1"/>
  <c r="H7" s="1"/>
  <c r="R6"/>
  <c r="N6"/>
  <c r="G6"/>
  <c r="H6" s="1"/>
  <c r="N5"/>
  <c r="G5"/>
  <c r="R4"/>
  <c r="N4"/>
  <c r="S8" l="1"/>
  <c r="J6"/>
  <c r="J9"/>
  <c r="J10"/>
  <c r="S10" s="1"/>
  <c r="J11"/>
  <c r="J12"/>
  <c r="J14"/>
  <c r="S14" s="1"/>
  <c r="J5"/>
  <c r="H9"/>
  <c r="H10"/>
  <c r="H12"/>
  <c r="S12"/>
  <c r="S6"/>
  <c r="G4"/>
  <c r="J4" s="1"/>
  <c r="S4" s="1"/>
  <c r="H4" l="1"/>
  <c r="H5"/>
  <c r="R5"/>
  <c r="S5" s="1"/>
  <c r="R11"/>
  <c r="S11" s="1"/>
  <c r="R13"/>
  <c r="S13" s="1"/>
  <c r="R9"/>
  <c r="S9" s="1"/>
  <c r="R7"/>
  <c r="S7" s="1"/>
</calcChain>
</file>

<file path=xl/sharedStrings.xml><?xml version="1.0" encoding="utf-8"?>
<sst xmlns="http://schemas.openxmlformats.org/spreadsheetml/2006/main" count="82" uniqueCount="66">
  <si>
    <t>Likelihood &amp; Information</t>
  </si>
  <si>
    <t>Impact</t>
  </si>
  <si>
    <t>ID</t>
  </si>
  <si>
    <t>Threat</t>
  </si>
  <si>
    <t>Vulnerability</t>
  </si>
  <si>
    <t>Scenario</t>
  </si>
  <si>
    <t>Likelihood of Occurrence (inherent)</t>
  </si>
  <si>
    <r>
      <t>I</t>
    </r>
    <r>
      <rPr>
        <vertAlign val="subscript"/>
        <sz val="9"/>
        <color theme="1"/>
        <rFont val="Arial"/>
        <family val="2"/>
      </rPr>
      <t>inh</t>
    </r>
  </si>
  <si>
    <t>Likelihood of Success (residual)</t>
  </si>
  <si>
    <r>
      <t>I</t>
    </r>
    <r>
      <rPr>
        <vertAlign val="subscript"/>
        <sz val="9"/>
        <color theme="1"/>
        <rFont val="Arial"/>
        <family val="2"/>
      </rPr>
      <t>res</t>
    </r>
  </si>
  <si>
    <t>c</t>
  </si>
  <si>
    <t>a</t>
  </si>
  <si>
    <t>i</t>
  </si>
  <si>
    <r>
      <rPr>
        <sz val="9"/>
        <color theme="1"/>
        <rFont val="Symbol"/>
        <family val="1"/>
        <charset val="2"/>
      </rPr>
      <t>P</t>
    </r>
    <r>
      <rPr>
        <vertAlign val="subscript"/>
        <sz val="9"/>
        <color theme="1"/>
        <rFont val="Arial"/>
        <family val="2"/>
      </rPr>
      <t>inf</t>
    </r>
  </si>
  <si>
    <r>
      <rPr>
        <sz val="9"/>
        <color theme="1"/>
        <rFont val="Symbol"/>
        <family val="1"/>
        <charset val="2"/>
      </rPr>
      <t>P</t>
    </r>
    <r>
      <rPr>
        <vertAlign val="subscript"/>
        <sz val="9"/>
        <color theme="1"/>
        <rFont val="Arial"/>
        <family val="2"/>
      </rPr>
      <t>fin</t>
    </r>
  </si>
  <si>
    <r>
      <rPr>
        <sz val="9"/>
        <color theme="1"/>
        <rFont val="Symbol"/>
        <family val="1"/>
        <charset val="2"/>
      </rPr>
      <t>P</t>
    </r>
    <r>
      <rPr>
        <vertAlign val="subscript"/>
        <sz val="9"/>
        <color theme="1"/>
        <rFont val="Arial"/>
        <family val="2"/>
      </rPr>
      <t>o</t>
    </r>
  </si>
  <si>
    <r>
      <rPr>
        <sz val="9"/>
        <color theme="1"/>
        <rFont val="Symbol"/>
        <family val="1"/>
        <charset val="2"/>
      </rPr>
      <t>P</t>
    </r>
    <r>
      <rPr>
        <vertAlign val="subscript"/>
        <sz val="9"/>
        <color theme="1"/>
        <rFont val="Arial"/>
        <family val="2"/>
      </rPr>
      <t>%</t>
    </r>
  </si>
  <si>
    <r>
      <t>å</t>
    </r>
    <r>
      <rPr>
        <vertAlign val="subscript"/>
        <sz val="9"/>
        <color theme="1"/>
        <rFont val="Symbol"/>
        <family val="1"/>
        <charset val="2"/>
      </rPr>
      <t>P</t>
    </r>
    <r>
      <rPr>
        <sz val="9"/>
        <color theme="1"/>
        <rFont val="Times New Roman"/>
        <family val="1"/>
      </rPr>
      <t>*</t>
    </r>
    <r>
      <rPr>
        <sz val="9"/>
        <color theme="1"/>
        <rFont val="Symbol"/>
        <family val="1"/>
        <charset val="2"/>
      </rPr>
      <t>P</t>
    </r>
    <r>
      <rPr>
        <vertAlign val="subscript"/>
        <sz val="9"/>
        <color theme="1"/>
        <rFont val="Symbol"/>
        <family val="1"/>
        <charset val="2"/>
      </rPr>
      <t>%</t>
    </r>
  </si>
  <si>
    <t>Internal sabotage</t>
  </si>
  <si>
    <t>Internal control failures in OS and database</t>
  </si>
  <si>
    <t>DBA/server-Admin sabotages informatics resources</t>
  </si>
  <si>
    <t>Daily</t>
  </si>
  <si>
    <t>Misuse of sensitive information of Directors Notebooks</t>
  </si>
  <si>
    <t>Absences of encryption mechanisms</t>
  </si>
  <si>
    <t>Theft or loss</t>
  </si>
  <si>
    <t>Quaterly</t>
  </si>
  <si>
    <t>DoS Attack</t>
  </si>
  <si>
    <t>Absences of IDS/IPS</t>
  </si>
  <si>
    <t>Attack Distributed to the website</t>
  </si>
  <si>
    <t>Biannual</t>
  </si>
  <si>
    <t>Accounting inconsistencies</t>
  </si>
  <si>
    <t>Failures in the validation scheme of the application</t>
  </si>
  <si>
    <t>A user generates an account entry</t>
  </si>
  <si>
    <t>Informatics maleware</t>
  </si>
  <si>
    <t>Absence of antimalwares installed</t>
  </si>
  <si>
    <t>A user download an execute a software from internet</t>
  </si>
  <si>
    <t>Monthly</t>
  </si>
  <si>
    <t>Earthquake</t>
  </si>
  <si>
    <t>Danger zone</t>
  </si>
  <si>
    <t>Earthquake that affects the Datacenter</t>
  </si>
  <si>
    <t>Each-Fifty-year</t>
  </si>
  <si>
    <t>{Min}</t>
  </si>
  <si>
    <t>{Max}</t>
  </si>
  <si>
    <t>Frequency</t>
  </si>
  <si>
    <r>
      <t>Cat</t>
    </r>
    <r>
      <rPr>
        <vertAlign val="subscript"/>
        <sz val="9"/>
        <color theme="1"/>
        <rFont val="Arial"/>
        <family val="2"/>
      </rPr>
      <t>1</t>
    </r>
  </si>
  <si>
    <t>Description</t>
  </si>
  <si>
    <t>P(Ei)</t>
  </si>
  <si>
    <t>Annual</t>
  </si>
  <si>
    <t>Biweekly</t>
  </si>
  <si>
    <t>Decennial</t>
  </si>
  <si>
    <t>Each-Twenty-year</t>
  </si>
  <si>
    <t>Quinquennial</t>
  </si>
  <si>
    <t>Semiannual</t>
  </si>
  <si>
    <t>Weekly</t>
  </si>
  <si>
    <t>{Semiannual/Min}</t>
  </si>
  <si>
    <t>{Semiannual/Med}</t>
  </si>
  <si>
    <t>{Semiannual/Max}</t>
  </si>
  <si>
    <t xml:space="preserve">Thresholds </t>
  </si>
  <si>
    <t>H</t>
  </si>
  <si>
    <t>MH</t>
  </si>
  <si>
    <t>M</t>
  </si>
  <si>
    <t>ML</t>
  </si>
  <si>
    <t>L</t>
  </si>
  <si>
    <t>∞</t>
  </si>
  <si>
    <t>RE (b/i)</t>
  </si>
  <si>
    <t>Desc.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</si>
</sst>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"/>
  </numFmts>
  <fonts count="10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sz val="9"/>
      <color theme="1"/>
      <name val="Symbol"/>
      <family val="1"/>
      <charset val="2"/>
    </font>
    <font>
      <vertAlign val="subscript"/>
      <sz val="9"/>
      <color theme="1"/>
      <name val="Symbol"/>
      <family val="1"/>
      <charset val="2"/>
    </font>
    <font>
      <sz val="9"/>
      <color theme="1"/>
      <name val="Times New Roman"/>
      <family val="1"/>
    </font>
    <font>
      <sz val="9"/>
      <color theme="1"/>
      <name val="Calibri"/>
      <family val="2"/>
    </font>
    <font>
      <i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 applyProtection="1">
      <alignment vertical="center" wrapText="1"/>
      <protection locked="0"/>
    </xf>
    <xf numFmtId="0" fontId="2" fillId="2" borderId="13" xfId="0" applyFont="1" applyFill="1" applyBorder="1" applyAlignment="1" applyProtection="1">
      <alignment vertical="center" wrapText="1"/>
      <protection locked="0"/>
    </xf>
    <xf numFmtId="0" fontId="2" fillId="2" borderId="14" xfId="0" applyFont="1" applyFill="1" applyBorder="1" applyAlignment="1" applyProtection="1">
      <alignment vertical="center" wrapText="1"/>
      <protection locked="0"/>
    </xf>
    <xf numFmtId="0" fontId="2" fillId="2" borderId="15" xfId="0" applyFont="1" applyFill="1" applyBorder="1" applyAlignment="1" applyProtection="1">
      <alignment vertical="center" wrapText="1"/>
      <protection locked="0"/>
    </xf>
    <xf numFmtId="164" fontId="2" fillId="2" borderId="13" xfId="0" applyNumberFormat="1" applyFont="1" applyFill="1" applyBorder="1" applyAlignment="1">
      <alignment vertical="center" wrapText="1"/>
    </xf>
    <xf numFmtId="165" fontId="2" fillId="2" borderId="13" xfId="0" applyNumberFormat="1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165" fontId="2" fillId="2" borderId="16" xfId="0" applyNumberFormat="1" applyFont="1" applyFill="1" applyBorder="1" applyAlignment="1">
      <alignment vertical="center" wrapText="1"/>
    </xf>
    <xf numFmtId="0" fontId="2" fillId="2" borderId="18" xfId="0" applyFont="1" applyFill="1" applyBorder="1" applyAlignment="1" applyProtection="1">
      <alignment vertical="center" wrapText="1"/>
      <protection locked="0"/>
    </xf>
    <xf numFmtId="0" fontId="2" fillId="2" borderId="19" xfId="0" applyFont="1" applyFill="1" applyBorder="1" applyAlignment="1" applyProtection="1">
      <alignment vertical="center" wrapText="1"/>
      <protection locked="0"/>
    </xf>
    <xf numFmtId="0" fontId="2" fillId="2" borderId="20" xfId="0" applyFont="1" applyFill="1" applyBorder="1" applyAlignment="1" applyProtection="1">
      <alignment vertical="center" wrapText="1"/>
      <protection locked="0"/>
    </xf>
    <xf numFmtId="0" fontId="2" fillId="2" borderId="21" xfId="0" applyFont="1" applyFill="1" applyBorder="1" applyAlignment="1" applyProtection="1">
      <alignment vertical="center" wrapText="1"/>
      <protection locked="0"/>
    </xf>
    <xf numFmtId="165" fontId="2" fillId="2" borderId="19" xfId="0" applyNumberFormat="1" applyFont="1" applyFill="1" applyBorder="1" applyAlignment="1">
      <alignment vertical="center" wrapText="1"/>
    </xf>
    <xf numFmtId="0" fontId="2" fillId="2" borderId="19" xfId="0" applyFont="1" applyFill="1" applyBorder="1" applyAlignment="1">
      <alignment vertical="center" wrapText="1"/>
    </xf>
    <xf numFmtId="165" fontId="2" fillId="2" borderId="22" xfId="0" applyNumberFormat="1" applyFont="1" applyFill="1" applyBorder="1" applyAlignment="1">
      <alignment vertical="center" wrapText="1"/>
    </xf>
    <xf numFmtId="165" fontId="2" fillId="2" borderId="17" xfId="0" applyNumberFormat="1" applyFont="1" applyFill="1" applyBorder="1" applyAlignment="1">
      <alignment vertical="center" wrapText="1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5" xfId="0" applyFont="1" applyFill="1" applyBorder="1" applyAlignment="1" applyProtection="1">
      <alignment vertical="center" wrapText="1"/>
      <protection locked="0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2" fillId="2" borderId="27" xfId="0" applyFont="1" applyFill="1" applyBorder="1" applyAlignment="1" applyProtection="1">
      <alignment vertical="center" wrapText="1"/>
      <protection locked="0"/>
    </xf>
    <xf numFmtId="165" fontId="2" fillId="2" borderId="25" xfId="0" applyNumberFormat="1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165" fontId="2" fillId="2" borderId="28" xfId="0" applyNumberFormat="1" applyFont="1" applyFill="1" applyBorder="1" applyAlignment="1">
      <alignment vertical="center" wrapText="1"/>
    </xf>
    <xf numFmtId="165" fontId="2" fillId="2" borderId="23" xfId="0" applyNumberFormat="1" applyFont="1" applyFill="1" applyBorder="1" applyAlignment="1">
      <alignment vertical="center" wrapText="1"/>
    </xf>
    <xf numFmtId="0" fontId="2" fillId="2" borderId="0" xfId="0" applyFont="1" applyFill="1"/>
    <xf numFmtId="0" fontId="2" fillId="2" borderId="21" xfId="0" applyFont="1" applyFill="1" applyBorder="1" applyAlignment="1">
      <alignment horizontal="center"/>
    </xf>
    <xf numFmtId="164" fontId="2" fillId="2" borderId="22" xfId="0" applyNumberFormat="1" applyFont="1" applyFill="1" applyBorder="1" applyAlignment="1">
      <alignment horizontal="center"/>
    </xf>
    <xf numFmtId="164" fontId="2" fillId="2" borderId="22" xfId="0" applyNumberFormat="1" applyFont="1" applyFill="1" applyBorder="1" applyAlignment="1">
      <alignment horizontal="right"/>
    </xf>
    <xf numFmtId="0" fontId="2" fillId="2" borderId="27" xfId="0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right"/>
    </xf>
    <xf numFmtId="164" fontId="2" fillId="2" borderId="0" xfId="0" applyNumberFormat="1" applyFont="1" applyFill="1"/>
    <xf numFmtId="0" fontId="0" fillId="2" borderId="0" xfId="0" applyFill="1"/>
    <xf numFmtId="0" fontId="2" fillId="8" borderId="15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164" fontId="2" fillId="2" borderId="19" xfId="0" applyNumberFormat="1" applyFont="1" applyFill="1" applyBorder="1" applyAlignment="1">
      <alignment vertical="center" wrapText="1"/>
    </xf>
    <xf numFmtId="164" fontId="2" fillId="2" borderId="25" xfId="0" applyNumberFormat="1" applyFont="1" applyFill="1" applyBorder="1" applyAlignment="1">
      <alignment vertical="center" wrapText="1"/>
    </xf>
    <xf numFmtId="0" fontId="3" fillId="7" borderId="29" xfId="0" applyFont="1" applyFill="1" applyBorder="1" applyAlignment="1">
      <alignment horizontal="center" vertical="center" wrapText="1"/>
    </xf>
    <xf numFmtId="165" fontId="2" fillId="2" borderId="30" xfId="0" applyNumberFormat="1" applyFont="1" applyFill="1" applyBorder="1" applyAlignment="1">
      <alignment vertical="center" wrapText="1"/>
    </xf>
    <xf numFmtId="165" fontId="2" fillId="2" borderId="31" xfId="0" applyNumberFormat="1" applyFont="1" applyFill="1" applyBorder="1" applyAlignment="1">
      <alignment vertical="center" wrapText="1"/>
    </xf>
    <xf numFmtId="0" fontId="1" fillId="2" borderId="1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2" fillId="2" borderId="21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9" fillId="9" borderId="32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1" fillId="2" borderId="11" xfId="0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23" xfId="0" applyFont="1" applyFill="1" applyBorder="1" applyAlignment="1" applyProtection="1">
      <alignment horizontal="center"/>
      <protection locked="0"/>
    </xf>
    <xf numFmtId="2" fontId="2" fillId="2" borderId="12" xfId="0" applyNumberFormat="1" applyFont="1" applyFill="1" applyBorder="1" applyAlignment="1" applyProtection="1">
      <alignment vertical="center" wrapText="1"/>
      <protection locked="0"/>
    </xf>
    <xf numFmtId="2" fontId="2" fillId="2" borderId="13" xfId="0" applyNumberFormat="1" applyFont="1" applyFill="1" applyBorder="1" applyAlignment="1" applyProtection="1">
      <alignment vertical="center" wrapText="1"/>
      <protection locked="0"/>
    </xf>
    <xf numFmtId="2" fontId="2" fillId="2" borderId="14" xfId="0" applyNumberFormat="1" applyFont="1" applyFill="1" applyBorder="1" applyAlignment="1" applyProtection="1">
      <alignment vertical="center" wrapText="1"/>
      <protection locked="0"/>
    </xf>
    <xf numFmtId="2" fontId="2" fillId="2" borderId="18" xfId="0" applyNumberFormat="1" applyFont="1" applyFill="1" applyBorder="1" applyAlignment="1" applyProtection="1">
      <alignment vertical="center" wrapText="1"/>
      <protection locked="0"/>
    </xf>
    <xf numFmtId="2" fontId="2" fillId="2" borderId="19" xfId="0" applyNumberFormat="1" applyFont="1" applyFill="1" applyBorder="1" applyAlignment="1" applyProtection="1">
      <alignment vertical="center" wrapText="1"/>
      <protection locked="0"/>
    </xf>
    <xf numFmtId="2" fontId="2" fillId="2" borderId="20" xfId="0" applyNumberFormat="1" applyFont="1" applyFill="1" applyBorder="1" applyAlignment="1" applyProtection="1">
      <alignment vertical="center" wrapText="1"/>
      <protection locked="0"/>
    </xf>
    <xf numFmtId="2" fontId="2" fillId="2" borderId="24" xfId="0" applyNumberFormat="1" applyFont="1" applyFill="1" applyBorder="1" applyAlignment="1" applyProtection="1">
      <alignment vertical="center" wrapText="1"/>
      <protection locked="0"/>
    </xf>
    <xf numFmtId="2" fontId="2" fillId="2" borderId="25" xfId="0" applyNumberFormat="1" applyFont="1" applyFill="1" applyBorder="1" applyAlignment="1" applyProtection="1">
      <alignment vertical="center" wrapText="1"/>
      <protection locked="0"/>
    </xf>
    <xf numFmtId="2" fontId="2" fillId="2" borderId="26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'RA v4'!$H$3</c:f>
              <c:strCache>
                <c:ptCount val="1"/>
                <c:pt idx="0">
                  <c:v>Iinh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1">
                  <a:shade val="50000"/>
                </a:schemeClr>
              </a:solidFill>
            </a:ln>
          </c:spPr>
          <c:cat>
            <c:strRef>
              <c:f>'RA v4'!$C$4:$C$14</c:f>
              <c:strCache>
                <c:ptCount val="11"/>
                <c:pt idx="0">
                  <c:v>Internal sabotage</c:v>
                </c:pt>
                <c:pt idx="1">
                  <c:v>Misuse of sensitive information of Directors Notebooks</c:v>
                </c:pt>
                <c:pt idx="2">
                  <c:v>DoS Attack</c:v>
                </c:pt>
                <c:pt idx="3">
                  <c:v>Accounting inconsistencies</c:v>
                </c:pt>
                <c:pt idx="4">
                  <c:v>Informatics maleware</c:v>
                </c:pt>
                <c:pt idx="5">
                  <c:v>Earthquake</c:v>
                </c:pt>
                <c:pt idx="6">
                  <c:v>{Min}</c:v>
                </c:pt>
                <c:pt idx="7">
                  <c:v>{Max}</c:v>
                </c:pt>
                <c:pt idx="8">
                  <c:v>{Semiannual/Min}</c:v>
                </c:pt>
                <c:pt idx="9">
                  <c:v>{Semiannual/Med}</c:v>
                </c:pt>
                <c:pt idx="10">
                  <c:v>{Semiannual/Max}</c:v>
                </c:pt>
              </c:strCache>
            </c:strRef>
          </c:cat>
          <c:val>
            <c:numRef>
              <c:f>'RA v4'!$H$4:$H$14</c:f>
              <c:numCache>
                <c:formatCode>0.0000</c:formatCode>
                <c:ptCount val="11"/>
                <c:pt idx="0">
                  <c:v>1.4499569695115091E-2</c:v>
                </c:pt>
                <c:pt idx="1">
                  <c:v>7.5117526537673793</c:v>
                </c:pt>
                <c:pt idx="2">
                  <c:v>7.5117526537673793</c:v>
                </c:pt>
                <c:pt idx="3">
                  <c:v>6.5117526537673793</c:v>
                </c:pt>
                <c:pt idx="4">
                  <c:v>4.9267901530462233</c:v>
                </c:pt>
                <c:pt idx="5">
                  <c:v>14.155608843542105</c:v>
                </c:pt>
                <c:pt idx="6">
                  <c:v>1.4499569695115091E-2</c:v>
                </c:pt>
                <c:pt idx="7">
                  <c:v>14.155608843542105</c:v>
                </c:pt>
                <c:pt idx="8">
                  <c:v>7.5117526537673793</c:v>
                </c:pt>
                <c:pt idx="9">
                  <c:v>7.5117526537673793</c:v>
                </c:pt>
                <c:pt idx="10">
                  <c:v>7.5117526537673793</c:v>
                </c:pt>
              </c:numCache>
            </c:numRef>
          </c:val>
        </c:ser>
        <c:ser>
          <c:idx val="1"/>
          <c:order val="1"/>
          <c:tx>
            <c:strRef>
              <c:f>'RA v4'!$J$3</c:f>
              <c:strCache>
                <c:ptCount val="1"/>
                <c:pt idx="0">
                  <c:v>Ires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1">
                  <a:shade val="50000"/>
                </a:schemeClr>
              </a:solidFill>
            </a:ln>
          </c:spPr>
          <c:cat>
            <c:strRef>
              <c:f>'RA v4'!$C$4:$C$14</c:f>
              <c:strCache>
                <c:ptCount val="11"/>
                <c:pt idx="0">
                  <c:v>Internal sabotage</c:v>
                </c:pt>
                <c:pt idx="1">
                  <c:v>Misuse of sensitive information of Directors Notebooks</c:v>
                </c:pt>
                <c:pt idx="2">
                  <c:v>DoS Attack</c:v>
                </c:pt>
                <c:pt idx="3">
                  <c:v>Accounting inconsistencies</c:v>
                </c:pt>
                <c:pt idx="4">
                  <c:v>Informatics maleware</c:v>
                </c:pt>
                <c:pt idx="5">
                  <c:v>Earthquake</c:v>
                </c:pt>
                <c:pt idx="6">
                  <c:v>{Min}</c:v>
                </c:pt>
                <c:pt idx="7">
                  <c:v>{Max}</c:v>
                </c:pt>
                <c:pt idx="8">
                  <c:v>{Semiannual/Min}</c:v>
                </c:pt>
                <c:pt idx="9">
                  <c:v>{Semiannual/Med}</c:v>
                </c:pt>
                <c:pt idx="10">
                  <c:v>{Semiannual/Max}</c:v>
                </c:pt>
              </c:strCache>
            </c:strRef>
          </c:cat>
          <c:val>
            <c:numRef>
              <c:f>'RA v4'!$J$4:$J$14</c:f>
              <c:numCache>
                <c:formatCode>0.0000</c:formatCode>
                <c:ptCount val="11"/>
                <c:pt idx="0">
                  <c:v>4.3364276645824775</c:v>
                </c:pt>
                <c:pt idx="1">
                  <c:v>8.5117526537673793</c:v>
                </c:pt>
                <c:pt idx="2">
                  <c:v>7.9267901530462233</c:v>
                </c:pt>
                <c:pt idx="3">
                  <c:v>10.833680748654743</c:v>
                </c:pt>
                <c:pt idx="4">
                  <c:v>6.9267901530462241</c:v>
                </c:pt>
                <c:pt idx="5">
                  <c:v>14.229609424985883</c:v>
                </c:pt>
                <c:pt idx="6">
                  <c:v>8.8500151138891925E-2</c:v>
                </c:pt>
                <c:pt idx="7">
                  <c:v>18.47753693842947</c:v>
                </c:pt>
                <c:pt idx="8">
                  <c:v>7.5857532352111576</c:v>
                </c:pt>
                <c:pt idx="9">
                  <c:v>8.5117526537673793</c:v>
                </c:pt>
                <c:pt idx="10">
                  <c:v>11.833680748654743</c:v>
                </c:pt>
              </c:numCache>
            </c:numRef>
          </c:val>
        </c:ser>
        <c:ser>
          <c:idx val="3"/>
          <c:order val="2"/>
          <c:tx>
            <c:strRef>
              <c:f>'RA v4'!$S$3</c:f>
              <c:strCache>
                <c:ptCount val="1"/>
                <c:pt idx="0">
                  <c:v>RE (b/i)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1">
                  <a:shade val="50000"/>
                </a:schemeClr>
              </a:solidFill>
            </a:ln>
          </c:spPr>
          <c:cat>
            <c:strRef>
              <c:f>'RA v4'!$C$4:$C$14</c:f>
              <c:strCache>
                <c:ptCount val="11"/>
                <c:pt idx="0">
                  <c:v>Internal sabotage</c:v>
                </c:pt>
                <c:pt idx="1">
                  <c:v>Misuse of sensitive information of Directors Notebooks</c:v>
                </c:pt>
                <c:pt idx="2">
                  <c:v>DoS Attack</c:v>
                </c:pt>
                <c:pt idx="3">
                  <c:v>Accounting inconsistencies</c:v>
                </c:pt>
                <c:pt idx="4">
                  <c:v>Informatics maleware</c:v>
                </c:pt>
                <c:pt idx="5">
                  <c:v>Earthquake</c:v>
                </c:pt>
                <c:pt idx="6">
                  <c:v>{Min}</c:v>
                </c:pt>
                <c:pt idx="7">
                  <c:v>{Max}</c:v>
                </c:pt>
                <c:pt idx="8">
                  <c:v>{Semiannual/Min}</c:v>
                </c:pt>
                <c:pt idx="9">
                  <c:v>{Semiannual/Med}</c:v>
                </c:pt>
                <c:pt idx="10">
                  <c:v>{Semiannual/Max}</c:v>
                </c:pt>
              </c:strCache>
            </c:strRef>
          </c:cat>
          <c:val>
            <c:numRef>
              <c:f>'RA v4'!$S$4:$S$14</c:f>
              <c:numCache>
                <c:formatCode>0.0000</c:formatCode>
                <c:ptCount val="11"/>
                <c:pt idx="0">
                  <c:v>2.0532327957303398</c:v>
                </c:pt>
                <c:pt idx="1">
                  <c:v>7.6942396870213603</c:v>
                </c:pt>
                <c:pt idx="2">
                  <c:v>5.2761728283858709</c:v>
                </c:pt>
                <c:pt idx="3">
                  <c:v>35.828625874013206</c:v>
                </c:pt>
                <c:pt idx="4">
                  <c:v>57.723251275385188</c:v>
                </c:pt>
                <c:pt idx="5">
                  <c:v>38.094192483983221</c:v>
                </c:pt>
                <c:pt idx="6">
                  <c:v>3.2095798046653766E-2</c:v>
                </c:pt>
                <c:pt idx="7">
                  <c:v>184.54468852364013</c:v>
                </c:pt>
                <c:pt idx="8">
                  <c:v>75.762828816091456</c:v>
                </c:pt>
                <c:pt idx="9">
                  <c:v>7.5660023589043375</c:v>
                </c:pt>
                <c:pt idx="10">
                  <c:v>4.2916472183343739</c:v>
                </c:pt>
              </c:numCache>
            </c:numRef>
          </c:val>
        </c:ser>
        <c:axId val="117855360"/>
        <c:axId val="117856896"/>
      </c:barChart>
      <c:catAx>
        <c:axId val="117855360"/>
        <c:scaling>
          <c:orientation val="minMax"/>
        </c:scaling>
        <c:axPos val="b"/>
        <c:tickLblPos val="nextTo"/>
        <c:spPr>
          <a:noFill/>
          <a:effectLst>
            <a:outerShdw blurRad="50800" dir="5400000" algn="ctr" rotWithShape="0">
              <a:srgbClr val="000000">
                <a:alpha val="43137"/>
              </a:srgbClr>
            </a:outerShdw>
          </a:effectLst>
        </c:spPr>
        <c:txPr>
          <a:bodyPr/>
          <a:lstStyle/>
          <a:p>
            <a:pPr>
              <a:defRPr lang="en-US" sz="900" b="1"/>
            </a:pPr>
            <a:endParaRPr lang="es-AR"/>
          </a:p>
        </c:txPr>
        <c:crossAx val="117856896"/>
        <c:crosses val="autoZero"/>
        <c:auto val="1"/>
        <c:lblAlgn val="ctr"/>
        <c:lblOffset val="100"/>
      </c:catAx>
      <c:valAx>
        <c:axId val="117856896"/>
        <c:scaling>
          <c:orientation val="minMax"/>
        </c:scaling>
        <c:axPos val="l"/>
        <c:majorGridlines>
          <c:spPr>
            <a:ln w="15875">
              <a:solidFill>
                <a:schemeClr val="tx1"/>
              </a:solidFill>
            </a:ln>
          </c:spPr>
        </c:majorGridlines>
        <c:minorGridlines/>
        <c:numFmt formatCode="0.0" sourceLinked="0"/>
        <c:tickLblPos val="nextTo"/>
        <c:spPr>
          <a:ln w="12700"/>
          <a:effectLst/>
        </c:spPr>
        <c:txPr>
          <a:bodyPr/>
          <a:lstStyle/>
          <a:p>
            <a:pPr>
              <a:defRPr lang="en-US" b="1"/>
            </a:pPr>
            <a:endParaRPr lang="es-AR"/>
          </a:p>
        </c:txPr>
        <c:crossAx val="117855360"/>
        <c:crosses val="autoZero"/>
        <c:crossBetween val="between"/>
        <c:majorUnit val="20"/>
        <c:dispUnits>
          <c:custUnit val="1"/>
          <c:dispUnitsLbl>
            <c:layout>
              <c:manualLayout>
                <c:xMode val="edge"/>
                <c:yMode val="edge"/>
                <c:x val="6.7382606864603289E-3"/>
                <c:y val="0.44141507983499834"/>
              </c:manualLayout>
            </c:layout>
            <c:tx>
              <c:rich>
                <a:bodyPr rot="0" vert="horz"/>
                <a:lstStyle/>
                <a:p>
                  <a:pPr>
                    <a:defRPr lang="en-US"/>
                  </a:pPr>
                  <a:r>
                    <a:rPr lang="en-US"/>
                    <a:t>bits</a:t>
                  </a:r>
                </a:p>
              </c:rich>
            </c:tx>
          </c:dispUnitsLbl>
        </c:dispUnits>
      </c:valAx>
      <c:spPr>
        <a:noFill/>
      </c:spPr>
    </c:plotArea>
    <c:legend>
      <c:legendPos val="r"/>
      <c:layout/>
      <c:spPr>
        <a:noFill/>
      </c:spPr>
      <c:txPr>
        <a:bodyPr/>
        <a:lstStyle/>
        <a:p>
          <a:pPr rtl="0">
            <a:defRPr lang="en-US" b="1"/>
          </a:pPr>
          <a:endParaRPr lang="es-AR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900">
          <a:latin typeface="Arial" pitchFamily="34" charset="0"/>
          <a:cs typeface="Arial" pitchFamily="34" charset="0"/>
        </a:defRPr>
      </a:pPr>
      <a:endParaRPr lang="es-A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109538</xdr:rowOff>
    </xdr:from>
    <xdr:to>
      <xdr:col>17</xdr:col>
      <xdr:colOff>419100</xdr:colOff>
      <xdr:row>46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14"/>
  <sheetViews>
    <sheetView tabSelected="1" workbookViewId="0">
      <pane ySplit="3" topLeftCell="A4" activePane="bottomLeft" state="frozen"/>
      <selection pane="bottomLeft" activeCell="W15" sqref="W15"/>
    </sheetView>
  </sheetViews>
  <sheetFormatPr baseColWidth="10" defaultColWidth="9.140625" defaultRowHeight="12"/>
  <cols>
    <col min="1" max="1" width="1.42578125" style="2" customWidth="1"/>
    <col min="2" max="2" width="2.7109375" style="1" bestFit="1" customWidth="1"/>
    <col min="3" max="3" width="44.5703125" style="2" bestFit="1" customWidth="1"/>
    <col min="4" max="4" width="41.28515625" style="2" bestFit="1" customWidth="1"/>
    <col min="5" max="5" width="42.7109375" style="2" bestFit="1" customWidth="1"/>
    <col min="6" max="6" width="12.42578125" style="2" bestFit="1" customWidth="1"/>
    <col min="7" max="7" width="8.42578125" style="2" bestFit="1" customWidth="1"/>
    <col min="8" max="8" width="7.42578125" style="2" bestFit="1" customWidth="1"/>
    <col min="9" max="9" width="15.85546875" style="2" bestFit="1" customWidth="1"/>
    <col min="10" max="10" width="7.42578125" style="2" bestFit="1" customWidth="1"/>
    <col min="11" max="13" width="4.42578125" style="2" bestFit="1" customWidth="1"/>
    <col min="14" max="14" width="6.42578125" style="2" bestFit="1" customWidth="1"/>
    <col min="15" max="16" width="4.42578125" style="2" bestFit="1" customWidth="1"/>
    <col min="17" max="17" width="5" style="2" bestFit="1" customWidth="1"/>
    <col min="18" max="18" width="6.42578125" style="2" bestFit="1" customWidth="1"/>
    <col min="19" max="19" width="8.42578125" style="2" bestFit="1" customWidth="1"/>
    <col min="20" max="20" width="5.85546875" style="2" customWidth="1"/>
    <col min="21" max="21" width="5.28515625" style="2" customWidth="1"/>
    <col min="22" max="16384" width="9.140625" style="2"/>
  </cols>
  <sheetData>
    <row r="1" spans="2:21" ht="12.75" thickBot="1"/>
    <row r="2" spans="2:21" ht="12.75" thickBot="1">
      <c r="C2" s="3"/>
      <c r="D2" s="3"/>
      <c r="E2" s="3"/>
      <c r="F2" s="61" t="s">
        <v>0</v>
      </c>
      <c r="G2" s="62"/>
      <c r="H2" s="62"/>
      <c r="I2" s="62"/>
      <c r="J2" s="63"/>
      <c r="K2" s="64" t="s">
        <v>1</v>
      </c>
      <c r="L2" s="65"/>
      <c r="M2" s="65"/>
      <c r="N2" s="65"/>
      <c r="O2" s="65"/>
      <c r="P2" s="65"/>
      <c r="Q2" s="66"/>
      <c r="R2" s="67"/>
      <c r="S2" s="3"/>
    </row>
    <row r="3" spans="2:21" ht="24.75" thickBot="1">
      <c r="B3" s="4" t="s">
        <v>2</v>
      </c>
      <c r="C3" s="5" t="s">
        <v>3</v>
      </c>
      <c r="D3" s="6" t="s">
        <v>4</v>
      </c>
      <c r="E3" s="7" t="s">
        <v>5</v>
      </c>
      <c r="F3" s="68" t="s">
        <v>6</v>
      </c>
      <c r="G3" s="69"/>
      <c r="H3" s="8" t="s">
        <v>7</v>
      </c>
      <c r="I3" s="6" t="s">
        <v>8</v>
      </c>
      <c r="J3" s="9" t="s">
        <v>9</v>
      </c>
      <c r="K3" s="10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11" t="s">
        <v>17</v>
      </c>
      <c r="S3" s="48" t="s">
        <v>64</v>
      </c>
      <c r="T3" s="70" t="s">
        <v>57</v>
      </c>
      <c r="U3" s="71"/>
    </row>
    <row r="4" spans="2:21">
      <c r="B4" s="74">
        <v>1</v>
      </c>
      <c r="C4" s="12" t="s">
        <v>18</v>
      </c>
      <c r="D4" s="13" t="s">
        <v>19</v>
      </c>
      <c r="E4" s="14" t="s">
        <v>20</v>
      </c>
      <c r="F4" s="15" t="s">
        <v>21</v>
      </c>
      <c r="G4" s="16">
        <f>+VLOOKUP(F4,Categories!$B$4:$C$15,2)</f>
        <v>0.99</v>
      </c>
      <c r="H4" s="17">
        <f t="shared" ref="H4:H14" si="0">-LOG(G4,2)</f>
        <v>1.4499569695115091E-2</v>
      </c>
      <c r="I4" s="18">
        <v>0.05</v>
      </c>
      <c r="J4" s="19">
        <f t="shared" ref="J4:J14" si="1">-LOG(G4*I4,2)</f>
        <v>4.3364276645824775</v>
      </c>
      <c r="K4" s="77">
        <v>0.8</v>
      </c>
      <c r="L4" s="78">
        <v>0.8</v>
      </c>
      <c r="M4" s="79">
        <v>0.8</v>
      </c>
      <c r="N4" s="17">
        <f t="shared" ref="N4:N14" si="2">K4*L4*M4</f>
        <v>0.51200000000000012</v>
      </c>
      <c r="O4" s="78">
        <v>0.8</v>
      </c>
      <c r="P4" s="78">
        <v>0.8</v>
      </c>
      <c r="Q4" s="77">
        <v>0</v>
      </c>
      <c r="R4" s="19">
        <f t="shared" ref="R4:R14" si="3">(N4+O4+P4)*(1+Q4)</f>
        <v>2.1120000000000001</v>
      </c>
      <c r="S4" s="49">
        <f t="shared" ref="S4:S14" si="4">J4/R4</f>
        <v>2.0532327957303398</v>
      </c>
      <c r="T4" s="54" t="s">
        <v>58</v>
      </c>
      <c r="U4" s="51">
        <v>20</v>
      </c>
    </row>
    <row r="5" spans="2:21">
      <c r="B5" s="75">
        <v>3</v>
      </c>
      <c r="C5" s="20" t="s">
        <v>22</v>
      </c>
      <c r="D5" s="21" t="s">
        <v>23</v>
      </c>
      <c r="E5" s="22" t="s">
        <v>24</v>
      </c>
      <c r="F5" s="23" t="s">
        <v>52</v>
      </c>
      <c r="G5" s="46">
        <f>+VLOOKUP(F5,Categories!$B$4:$C$15,2)</f>
        <v>5.4794520547945206E-3</v>
      </c>
      <c r="H5" s="24">
        <f t="shared" si="0"/>
        <v>7.5117526537673793</v>
      </c>
      <c r="I5" s="25">
        <v>0.5</v>
      </c>
      <c r="J5" s="26">
        <f t="shared" si="1"/>
        <v>8.5117526537673793</v>
      </c>
      <c r="K5" s="80">
        <v>0.95</v>
      </c>
      <c r="L5" s="81">
        <v>0.75</v>
      </c>
      <c r="M5" s="82">
        <v>0.5</v>
      </c>
      <c r="N5" s="24">
        <f t="shared" si="2"/>
        <v>0.35624999999999996</v>
      </c>
      <c r="O5" s="81">
        <v>0.25</v>
      </c>
      <c r="P5" s="81">
        <v>0.5</v>
      </c>
      <c r="Q5" s="80">
        <v>0</v>
      </c>
      <c r="R5" s="26">
        <f t="shared" si="3"/>
        <v>1.10625</v>
      </c>
      <c r="S5" s="50">
        <f t="shared" si="4"/>
        <v>7.6942396870213603</v>
      </c>
      <c r="T5" s="55" t="s">
        <v>59</v>
      </c>
      <c r="U5" s="52">
        <v>40</v>
      </c>
    </row>
    <row r="6" spans="2:21">
      <c r="B6" s="75">
        <v>2</v>
      </c>
      <c r="C6" s="20" t="s">
        <v>26</v>
      </c>
      <c r="D6" s="21" t="s">
        <v>27</v>
      </c>
      <c r="E6" s="22" t="s">
        <v>28</v>
      </c>
      <c r="F6" s="23" t="s">
        <v>52</v>
      </c>
      <c r="G6" s="46">
        <f>+VLOOKUP(F6,Categories!$B$4:$C$15,2)</f>
        <v>5.4794520547945206E-3</v>
      </c>
      <c r="H6" s="24">
        <f t="shared" si="0"/>
        <v>7.5117526537673793</v>
      </c>
      <c r="I6" s="25">
        <v>0.75</v>
      </c>
      <c r="J6" s="26">
        <f t="shared" si="1"/>
        <v>7.9267901530462233</v>
      </c>
      <c r="K6" s="80">
        <v>0.05</v>
      </c>
      <c r="L6" s="81">
        <v>0.95</v>
      </c>
      <c r="M6" s="82">
        <v>0.05</v>
      </c>
      <c r="N6" s="24">
        <f t="shared" si="2"/>
        <v>2.3750000000000004E-3</v>
      </c>
      <c r="O6" s="81">
        <v>0.75</v>
      </c>
      <c r="P6" s="81">
        <v>0.75</v>
      </c>
      <c r="Q6" s="80">
        <v>0</v>
      </c>
      <c r="R6" s="26">
        <f t="shared" si="3"/>
        <v>1.502375</v>
      </c>
      <c r="S6" s="50">
        <f t="shared" si="4"/>
        <v>5.2761728283858709</v>
      </c>
      <c r="T6" s="55" t="s">
        <v>60</v>
      </c>
      <c r="U6" s="52">
        <v>60</v>
      </c>
    </row>
    <row r="7" spans="2:21">
      <c r="B7" s="75">
        <v>5</v>
      </c>
      <c r="C7" s="20" t="s">
        <v>30</v>
      </c>
      <c r="D7" s="21" t="s">
        <v>31</v>
      </c>
      <c r="E7" s="22" t="s">
        <v>32</v>
      </c>
      <c r="F7" s="23" t="s">
        <v>25</v>
      </c>
      <c r="G7" s="46">
        <f>+VLOOKUP(F7,Categories!$B$4:$C$15,2)</f>
        <v>1.0958904109589041E-2</v>
      </c>
      <c r="H7" s="24">
        <f t="shared" si="0"/>
        <v>6.5117526537673793</v>
      </c>
      <c r="I7" s="25">
        <v>0.05</v>
      </c>
      <c r="J7" s="26">
        <f t="shared" si="1"/>
        <v>10.833680748654743</v>
      </c>
      <c r="K7" s="80">
        <v>0.05</v>
      </c>
      <c r="L7" s="81">
        <v>0.05</v>
      </c>
      <c r="M7" s="82">
        <v>0.95</v>
      </c>
      <c r="N7" s="24">
        <f t="shared" si="2"/>
        <v>2.3750000000000004E-3</v>
      </c>
      <c r="O7" s="81">
        <v>0.05</v>
      </c>
      <c r="P7" s="81">
        <v>0.25</v>
      </c>
      <c r="Q7" s="80">
        <v>0</v>
      </c>
      <c r="R7" s="26">
        <f t="shared" si="3"/>
        <v>0.302375</v>
      </c>
      <c r="S7" s="50">
        <f t="shared" si="4"/>
        <v>35.828625874013206</v>
      </c>
      <c r="T7" s="55" t="s">
        <v>61</v>
      </c>
      <c r="U7" s="52">
        <v>75</v>
      </c>
    </row>
    <row r="8" spans="2:21" ht="12.75" thickBot="1">
      <c r="B8" s="75">
        <v>4</v>
      </c>
      <c r="C8" s="20" t="s">
        <v>33</v>
      </c>
      <c r="D8" s="21" t="s">
        <v>34</v>
      </c>
      <c r="E8" s="22" t="s">
        <v>35</v>
      </c>
      <c r="F8" s="23" t="s">
        <v>36</v>
      </c>
      <c r="G8" s="46">
        <f>+VLOOKUP(F8,Categories!$B$4:$C$15,2)</f>
        <v>3.287671232876712E-2</v>
      </c>
      <c r="H8" s="24">
        <f t="shared" si="0"/>
        <v>4.9267901530462233</v>
      </c>
      <c r="I8" s="25">
        <v>0.25</v>
      </c>
      <c r="J8" s="26">
        <f t="shared" si="1"/>
        <v>6.9267901530462241</v>
      </c>
      <c r="K8" s="80">
        <v>0.25</v>
      </c>
      <c r="L8" s="81">
        <v>0.8</v>
      </c>
      <c r="M8" s="82">
        <v>0.25</v>
      </c>
      <c r="N8" s="24">
        <f t="shared" si="2"/>
        <v>0.05</v>
      </c>
      <c r="O8" s="81">
        <v>0.05</v>
      </c>
      <c r="P8" s="81">
        <v>0.05</v>
      </c>
      <c r="Q8" s="80">
        <v>-0.2</v>
      </c>
      <c r="R8" s="26">
        <f t="shared" si="3"/>
        <v>0.12000000000000002</v>
      </c>
      <c r="S8" s="50">
        <f t="shared" si="4"/>
        <v>57.723251275385188</v>
      </c>
      <c r="T8" s="56" t="s">
        <v>62</v>
      </c>
      <c r="U8" s="53" t="s">
        <v>63</v>
      </c>
    </row>
    <row r="9" spans="2:21">
      <c r="B9" s="75">
        <v>6</v>
      </c>
      <c r="C9" s="20" t="s">
        <v>37</v>
      </c>
      <c r="D9" s="21" t="s">
        <v>38</v>
      </c>
      <c r="E9" s="22" t="s">
        <v>39</v>
      </c>
      <c r="F9" s="23" t="s">
        <v>40</v>
      </c>
      <c r="G9" s="46">
        <f>+VLOOKUP(F9,Categories!$B$4:$C$15,2)</f>
        <v>5.4794520547945207E-5</v>
      </c>
      <c r="H9" s="24">
        <f t="shared" si="0"/>
        <v>14.155608843542105</v>
      </c>
      <c r="I9" s="25">
        <v>0.95</v>
      </c>
      <c r="J9" s="26">
        <f t="shared" si="1"/>
        <v>14.229609424985883</v>
      </c>
      <c r="K9" s="80">
        <v>0.05</v>
      </c>
      <c r="L9" s="81">
        <v>0.95</v>
      </c>
      <c r="M9" s="82">
        <v>0.95</v>
      </c>
      <c r="N9" s="24">
        <f t="shared" si="2"/>
        <v>4.5124999999999998E-2</v>
      </c>
      <c r="O9" s="81">
        <v>0.95</v>
      </c>
      <c r="P9" s="81">
        <v>0.25</v>
      </c>
      <c r="Q9" s="80">
        <v>-0.7</v>
      </c>
      <c r="R9" s="26">
        <f t="shared" si="3"/>
        <v>0.37353750000000002</v>
      </c>
      <c r="S9" s="27">
        <f t="shared" si="4"/>
        <v>38.094192483983221</v>
      </c>
    </row>
    <row r="10" spans="2:21">
      <c r="B10" s="75">
        <v>7</v>
      </c>
      <c r="C10" s="20" t="s">
        <v>41</v>
      </c>
      <c r="D10" s="21"/>
      <c r="E10" s="22"/>
      <c r="F10" s="23" t="s">
        <v>21</v>
      </c>
      <c r="G10" s="46">
        <f>+VLOOKUP(F10,Categories!$B$4:$C$15,2)</f>
        <v>0.99</v>
      </c>
      <c r="H10" s="24">
        <f t="shared" si="0"/>
        <v>1.4499569695115091E-2</v>
      </c>
      <c r="I10" s="25">
        <v>0.95</v>
      </c>
      <c r="J10" s="26">
        <f t="shared" si="1"/>
        <v>8.8500151138891925E-2</v>
      </c>
      <c r="K10" s="80">
        <v>0.95</v>
      </c>
      <c r="L10" s="81">
        <v>0.95</v>
      </c>
      <c r="M10" s="82">
        <v>0.95</v>
      </c>
      <c r="N10" s="24">
        <f t="shared" si="2"/>
        <v>0.85737499999999989</v>
      </c>
      <c r="O10" s="81">
        <v>0.95</v>
      </c>
      <c r="P10" s="81">
        <v>0.95</v>
      </c>
      <c r="Q10" s="80">
        <v>0</v>
      </c>
      <c r="R10" s="26">
        <f t="shared" si="3"/>
        <v>2.7573749999999997</v>
      </c>
      <c r="S10" s="27">
        <f t="shared" si="4"/>
        <v>3.2095798046653766E-2</v>
      </c>
    </row>
    <row r="11" spans="2:21">
      <c r="B11" s="75">
        <v>8</v>
      </c>
      <c r="C11" s="20" t="s">
        <v>42</v>
      </c>
      <c r="D11" s="21"/>
      <c r="E11" s="22"/>
      <c r="F11" s="23" t="s">
        <v>40</v>
      </c>
      <c r="G11" s="46">
        <f>+VLOOKUP(F11,Categories!$B$4:$C$15,2)</f>
        <v>5.4794520547945207E-5</v>
      </c>
      <c r="H11" s="24">
        <f t="shared" si="0"/>
        <v>14.155608843542105</v>
      </c>
      <c r="I11" s="25">
        <v>0.05</v>
      </c>
      <c r="J11" s="26">
        <f t="shared" si="1"/>
        <v>18.47753693842947</v>
      </c>
      <c r="K11" s="80">
        <v>0.05</v>
      </c>
      <c r="L11" s="81">
        <v>0.05</v>
      </c>
      <c r="M11" s="82">
        <v>0.05</v>
      </c>
      <c r="N11" s="24">
        <f t="shared" si="2"/>
        <v>1.2500000000000003E-4</v>
      </c>
      <c r="O11" s="81">
        <v>0.05</v>
      </c>
      <c r="P11" s="81">
        <v>0.05</v>
      </c>
      <c r="Q11" s="80">
        <v>0</v>
      </c>
      <c r="R11" s="26">
        <f t="shared" si="3"/>
        <v>0.10012500000000001</v>
      </c>
      <c r="S11" s="27">
        <f t="shared" si="4"/>
        <v>184.54468852364013</v>
      </c>
    </row>
    <row r="12" spans="2:21">
      <c r="B12" s="75">
        <v>9</v>
      </c>
      <c r="C12" s="20" t="s">
        <v>54</v>
      </c>
      <c r="D12" s="21"/>
      <c r="E12" s="22"/>
      <c r="F12" s="23" t="s">
        <v>52</v>
      </c>
      <c r="G12" s="46">
        <f>+VLOOKUP(F12,Categories!$B$4:$C$15,2)</f>
        <v>5.4794520547945206E-3</v>
      </c>
      <c r="H12" s="24">
        <f t="shared" si="0"/>
        <v>7.5117526537673793</v>
      </c>
      <c r="I12" s="25">
        <v>0.95</v>
      </c>
      <c r="J12" s="26">
        <f t="shared" si="1"/>
        <v>7.5857532352111576</v>
      </c>
      <c r="K12" s="80">
        <v>0.05</v>
      </c>
      <c r="L12" s="81">
        <v>0.05</v>
      </c>
      <c r="M12" s="82">
        <v>0.05</v>
      </c>
      <c r="N12" s="24">
        <f t="shared" si="2"/>
        <v>1.2500000000000003E-4</v>
      </c>
      <c r="O12" s="81">
        <v>0.05</v>
      </c>
      <c r="P12" s="81">
        <v>0.05</v>
      </c>
      <c r="Q12" s="80">
        <v>0</v>
      </c>
      <c r="R12" s="26">
        <f t="shared" si="3"/>
        <v>0.10012500000000001</v>
      </c>
      <c r="S12" s="27">
        <f t="shared" si="4"/>
        <v>75.762828816091456</v>
      </c>
    </row>
    <row r="13" spans="2:21">
      <c r="B13" s="75">
        <v>10</v>
      </c>
      <c r="C13" s="20" t="s">
        <v>55</v>
      </c>
      <c r="D13" s="21"/>
      <c r="E13" s="22"/>
      <c r="F13" s="23" t="s">
        <v>52</v>
      </c>
      <c r="G13" s="46">
        <f>+VLOOKUP(F13,Categories!$B$4:$C$15,2)</f>
        <v>5.4794520547945206E-3</v>
      </c>
      <c r="H13" s="24">
        <f t="shared" si="0"/>
        <v>7.5117526537673793</v>
      </c>
      <c r="I13" s="25">
        <v>0.5</v>
      </c>
      <c r="J13" s="26">
        <f t="shared" si="1"/>
        <v>8.5117526537673793</v>
      </c>
      <c r="K13" s="80">
        <v>0.5</v>
      </c>
      <c r="L13" s="81">
        <v>0.5</v>
      </c>
      <c r="M13" s="82">
        <v>0.5</v>
      </c>
      <c r="N13" s="24">
        <f t="shared" si="2"/>
        <v>0.125</v>
      </c>
      <c r="O13" s="81">
        <v>0.5</v>
      </c>
      <c r="P13" s="81">
        <v>0.5</v>
      </c>
      <c r="Q13" s="80">
        <v>0</v>
      </c>
      <c r="R13" s="26">
        <f t="shared" si="3"/>
        <v>1.125</v>
      </c>
      <c r="S13" s="27">
        <f t="shared" si="4"/>
        <v>7.5660023589043375</v>
      </c>
    </row>
    <row r="14" spans="2:21" ht="12.75" thickBot="1">
      <c r="B14" s="76">
        <v>11</v>
      </c>
      <c r="C14" s="28" t="s">
        <v>56</v>
      </c>
      <c r="D14" s="29"/>
      <c r="E14" s="30"/>
      <c r="F14" s="31" t="s">
        <v>52</v>
      </c>
      <c r="G14" s="47">
        <f>+VLOOKUP(F14,Categories!$B$4:$C$15,2)</f>
        <v>5.4794520547945206E-3</v>
      </c>
      <c r="H14" s="32">
        <f t="shared" si="0"/>
        <v>7.5117526537673793</v>
      </c>
      <c r="I14" s="33">
        <v>0.05</v>
      </c>
      <c r="J14" s="34">
        <f t="shared" si="1"/>
        <v>11.833680748654743</v>
      </c>
      <c r="K14" s="83">
        <v>0.95</v>
      </c>
      <c r="L14" s="84">
        <v>0.95</v>
      </c>
      <c r="M14" s="85">
        <v>0.95</v>
      </c>
      <c r="N14" s="32">
        <f t="shared" si="2"/>
        <v>0.85737499999999989</v>
      </c>
      <c r="O14" s="84">
        <v>0.95</v>
      </c>
      <c r="P14" s="84">
        <v>0.95</v>
      </c>
      <c r="Q14" s="83">
        <v>0</v>
      </c>
      <c r="R14" s="34">
        <f t="shared" si="3"/>
        <v>2.7573749999999997</v>
      </c>
      <c r="S14" s="35">
        <f t="shared" si="4"/>
        <v>4.2916472183343739</v>
      </c>
    </row>
  </sheetData>
  <sheetProtection sheet="1" objects="1" scenarios="1"/>
  <mergeCells count="4">
    <mergeCell ref="F2:J2"/>
    <mergeCell ref="K2:R2"/>
    <mergeCell ref="F3:G3"/>
    <mergeCell ref="T3:U3"/>
  </mergeCells>
  <dataValidations count="4">
    <dataValidation type="decimal" operator="greaterThan" allowBlank="1" showInputMessage="1" showErrorMessage="1" sqref="Q4">
      <formula1>-1</formula1>
    </dataValidation>
    <dataValidation type="decimal" operator="greaterThan" allowBlank="1" showInputMessage="1" showErrorMessage="1" sqref="Q5:Q14">
      <formula1>-0.99</formula1>
    </dataValidation>
    <dataValidation type="list" allowBlank="1" showInputMessage="1" showErrorMessage="1" sqref="K4:M14 O4:P14 I4:I14">
      <formula1>Categories!$E$3:$E$7</formula1>
    </dataValidation>
    <dataValidation type="list" allowBlank="1" showInputMessage="1" showErrorMessage="1" sqref="F4:F14">
      <formula1>Categories!$B$3:$B$15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22"/>
  <sheetViews>
    <sheetView workbookViewId="0">
      <selection activeCell="G26" sqref="G26"/>
    </sheetView>
  </sheetViews>
  <sheetFormatPr baseColWidth="10" defaultRowHeight="15"/>
  <cols>
    <col min="1" max="1" width="11.42578125" style="43"/>
    <col min="2" max="2" width="14.85546875" style="43" bestFit="1" customWidth="1"/>
    <col min="3" max="3" width="8.42578125" style="43" bestFit="1" customWidth="1"/>
    <col min="4" max="4" width="11.42578125" style="43"/>
    <col min="5" max="5" width="4.42578125" style="43" bestFit="1" customWidth="1"/>
    <col min="6" max="6" width="5.5703125" style="43" bestFit="1" customWidth="1"/>
    <col min="7" max="16384" width="11.42578125" style="43"/>
  </cols>
  <sheetData>
    <row r="1" spans="2:6" ht="15.75" thickBot="1"/>
    <row r="2" spans="2:6">
      <c r="B2" s="72" t="s">
        <v>43</v>
      </c>
      <c r="C2" s="73"/>
      <c r="D2" s="36"/>
      <c r="E2" s="44" t="s">
        <v>44</v>
      </c>
      <c r="F2" s="45" t="s">
        <v>65</v>
      </c>
    </row>
    <row r="3" spans="2:6">
      <c r="B3" s="37" t="s">
        <v>45</v>
      </c>
      <c r="C3" s="38" t="s">
        <v>46</v>
      </c>
      <c r="D3" s="36"/>
      <c r="E3" s="57">
        <v>0.95</v>
      </c>
      <c r="F3" s="58" t="s">
        <v>58</v>
      </c>
    </row>
    <row r="4" spans="2:6">
      <c r="B4" s="37" t="s">
        <v>47</v>
      </c>
      <c r="C4" s="38">
        <f>1/365</f>
        <v>2.7397260273972603E-3</v>
      </c>
      <c r="D4" s="36"/>
      <c r="E4" s="57">
        <v>0.75</v>
      </c>
      <c r="F4" s="58" t="s">
        <v>59</v>
      </c>
    </row>
    <row r="5" spans="2:6">
      <c r="B5" s="37" t="s">
        <v>29</v>
      </c>
      <c r="C5" s="38">
        <f>1/(365*2)</f>
        <v>1.3698630136986301E-3</v>
      </c>
      <c r="D5" s="36"/>
      <c r="E5" s="57">
        <v>0.5</v>
      </c>
      <c r="F5" s="58" t="s">
        <v>60</v>
      </c>
    </row>
    <row r="6" spans="2:6">
      <c r="B6" s="37" t="s">
        <v>48</v>
      </c>
      <c r="C6" s="39">
        <f>(52/2)/365</f>
        <v>7.1232876712328766E-2</v>
      </c>
      <c r="D6" s="36"/>
      <c r="E6" s="57">
        <v>0.25</v>
      </c>
      <c r="F6" s="58" t="s">
        <v>61</v>
      </c>
    </row>
    <row r="7" spans="2:6" ht="15.75" thickBot="1">
      <c r="B7" s="37" t="s">
        <v>21</v>
      </c>
      <c r="C7" s="39">
        <v>0.99</v>
      </c>
      <c r="D7" s="36"/>
      <c r="E7" s="59">
        <v>0.05</v>
      </c>
      <c r="F7" s="60" t="s">
        <v>62</v>
      </c>
    </row>
    <row r="8" spans="2:6">
      <c r="B8" s="37" t="s">
        <v>49</v>
      </c>
      <c r="C8" s="38">
        <f>1/(365*10)</f>
        <v>2.7397260273972601E-4</v>
      </c>
      <c r="D8" s="36"/>
      <c r="E8" s="36"/>
      <c r="F8" s="36"/>
    </row>
    <row r="9" spans="2:6">
      <c r="B9" s="37" t="s">
        <v>40</v>
      </c>
      <c r="C9" s="38">
        <f>1/(365*50)</f>
        <v>5.4794520547945207E-5</v>
      </c>
      <c r="D9" s="36"/>
      <c r="E9" s="36"/>
      <c r="F9" s="36"/>
    </row>
    <row r="10" spans="2:6">
      <c r="B10" s="37" t="s">
        <v>50</v>
      </c>
      <c r="C10" s="38">
        <f>1/(365*20)</f>
        <v>1.36986301369863E-4</v>
      </c>
      <c r="D10" s="36"/>
      <c r="E10" s="36"/>
      <c r="F10" s="36"/>
    </row>
    <row r="11" spans="2:6">
      <c r="B11" s="37" t="s">
        <v>36</v>
      </c>
      <c r="C11" s="38">
        <f>12/365</f>
        <v>3.287671232876712E-2</v>
      </c>
      <c r="D11" s="36"/>
      <c r="E11" s="36"/>
      <c r="F11" s="36"/>
    </row>
    <row r="12" spans="2:6">
      <c r="B12" s="37" t="s">
        <v>25</v>
      </c>
      <c r="C12" s="38">
        <f>4/365</f>
        <v>1.0958904109589041E-2</v>
      </c>
      <c r="D12" s="36"/>
      <c r="E12" s="36"/>
      <c r="F12" s="36"/>
    </row>
    <row r="13" spans="2:6">
      <c r="B13" s="37" t="s">
        <v>51</v>
      </c>
      <c r="C13" s="38">
        <f>1/(365*5)</f>
        <v>5.4794520547945202E-4</v>
      </c>
      <c r="D13" s="36"/>
      <c r="E13" s="36"/>
      <c r="F13" s="36"/>
    </row>
    <row r="14" spans="2:6">
      <c r="B14" s="37" t="s">
        <v>52</v>
      </c>
      <c r="C14" s="38">
        <f>2/365</f>
        <v>5.4794520547945206E-3</v>
      </c>
      <c r="D14" s="36"/>
      <c r="E14" s="36"/>
      <c r="F14" s="36"/>
    </row>
    <row r="15" spans="2:6" ht="15.75" thickBot="1">
      <c r="B15" s="40" t="s">
        <v>53</v>
      </c>
      <c r="C15" s="41">
        <f>52/365</f>
        <v>0.14246575342465753</v>
      </c>
      <c r="D15" s="36"/>
      <c r="E15" s="36"/>
      <c r="F15" s="36"/>
    </row>
    <row r="16" spans="2:6">
      <c r="B16" s="36"/>
      <c r="C16" s="42"/>
      <c r="D16" s="36"/>
      <c r="E16" s="36"/>
      <c r="F16" s="36"/>
    </row>
    <row r="17" spans="2:6">
      <c r="B17" s="36"/>
      <c r="C17" s="42"/>
      <c r="D17" s="36"/>
      <c r="E17" s="36"/>
      <c r="F17" s="36"/>
    </row>
    <row r="18" spans="2:6">
      <c r="B18" s="36"/>
      <c r="C18" s="42"/>
      <c r="D18" s="36"/>
      <c r="E18" s="36"/>
      <c r="F18" s="36"/>
    </row>
    <row r="19" spans="2:6">
      <c r="B19" s="36"/>
      <c r="C19" s="42"/>
      <c r="D19" s="36"/>
      <c r="E19" s="36"/>
      <c r="F19" s="36"/>
    </row>
    <row r="20" spans="2:6">
      <c r="B20" s="36"/>
      <c r="C20" s="42"/>
      <c r="D20" s="36"/>
      <c r="E20" s="36"/>
      <c r="F20" s="36"/>
    </row>
    <row r="21" spans="2:6">
      <c r="B21" s="36"/>
      <c r="C21" s="42"/>
      <c r="D21" s="36"/>
      <c r="E21" s="36"/>
      <c r="F21" s="36"/>
    </row>
    <row r="22" spans="2:6">
      <c r="B22" s="36"/>
      <c r="C22" s="42"/>
      <c r="D22" s="36"/>
      <c r="E22" s="36"/>
      <c r="F22" s="36"/>
    </row>
  </sheetData>
  <sheetProtection sheet="1" objects="1" scenarios="1"/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 v4</vt:lpstr>
      <vt:lpstr>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Alfie</dc:creator>
  <cp:lastModifiedBy>L. Alfie</cp:lastModifiedBy>
  <dcterms:created xsi:type="dcterms:W3CDTF">2018-11-12T13:27:17Z</dcterms:created>
  <dcterms:modified xsi:type="dcterms:W3CDTF">2018-11-12T18:58:19Z</dcterms:modified>
</cp:coreProperties>
</file>