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.Económico" sheetId="1" r:id="rId4"/>
    <sheet state="visible" name="Esquema financiero" sheetId="2" r:id="rId5"/>
    <sheet state="visible" name="P.Financiero" sheetId="3" r:id="rId6"/>
    <sheet state="visible" name="Balance proyectado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31">
      <text>
        <t xml:space="preserve">faltaban las comisiones que se adeudaban
	-Lucia Roldan</t>
      </text>
    </comment>
    <comment authorId="0" ref="G30">
      <text>
        <t xml:space="preserve">no va
	-Lucia Roldan</t>
      </text>
    </comment>
  </commentList>
</comments>
</file>

<file path=xl/sharedStrings.xml><?xml version="1.0" encoding="utf-8"?>
<sst xmlns="http://schemas.openxmlformats.org/spreadsheetml/2006/main" count="107" uniqueCount="94">
  <si>
    <t>CONCEPTO</t>
  </si>
  <si>
    <t>Totales</t>
  </si>
  <si>
    <t>Julio</t>
  </si>
  <si>
    <t>Agosto</t>
  </si>
  <si>
    <t>Septiembre</t>
  </si>
  <si>
    <t>Octubre</t>
  </si>
  <si>
    <t>Noviembre</t>
  </si>
  <si>
    <t>Diciembre</t>
  </si>
  <si>
    <t>P de ventas</t>
  </si>
  <si>
    <t>P de costos</t>
  </si>
  <si>
    <t>Contribucion Marginal</t>
  </si>
  <si>
    <t>Costos fijos (servicios)</t>
  </si>
  <si>
    <t>Amortizacion maqinaria</t>
  </si>
  <si>
    <t>Amortizacion mobiliario</t>
  </si>
  <si>
    <t>Amortizacion inmuebles</t>
  </si>
  <si>
    <t>Alquiler oficina</t>
  </si>
  <si>
    <t>Horas extra</t>
  </si>
  <si>
    <t>Venta maquinarias</t>
  </si>
  <si>
    <t>Acondicionamiento oficinas</t>
  </si>
  <si>
    <t>Sueldo empleado de seguridad</t>
  </si>
  <si>
    <t>Comisiones</t>
  </si>
  <si>
    <t>Provision  hs extra</t>
  </si>
  <si>
    <t>Pago de intereses</t>
  </si>
  <si>
    <t>Resultado del ejercicios presupuestado</t>
  </si>
  <si>
    <t>ta bien</t>
  </si>
  <si>
    <t>Acumulado</t>
  </si>
  <si>
    <t>X-2</t>
  </si>
  <si>
    <t>X-1</t>
  </si>
  <si>
    <t>X</t>
  </si>
  <si>
    <t>X+1</t>
  </si>
  <si>
    <t>X+2</t>
  </si>
  <si>
    <t>Venta</t>
  </si>
  <si>
    <t>Compra</t>
  </si>
  <si>
    <t>es el 40% de la compra</t>
  </si>
  <si>
    <t>Financiación  ?</t>
  </si>
  <si>
    <t>mes</t>
  </si>
  <si>
    <t>Total</t>
  </si>
  <si>
    <t>Diferido</t>
  </si>
  <si>
    <t>Presupuesto de ingresos</t>
  </si>
  <si>
    <t>Caja</t>
  </si>
  <si>
    <t>Ventas mayo</t>
  </si>
  <si>
    <t>Ventas junio</t>
  </si>
  <si>
    <t>Ventas julio</t>
  </si>
  <si>
    <t>Ventas agosto</t>
  </si>
  <si>
    <t>Ventas septiembre</t>
  </si>
  <si>
    <t>Ventas octubre</t>
  </si>
  <si>
    <t>Ventas noviembre</t>
  </si>
  <si>
    <t>Ventas diciembre</t>
  </si>
  <si>
    <t>Prestamo</t>
  </si>
  <si>
    <t>Alquiler oficinas</t>
  </si>
  <si>
    <t>Ingreso por vta</t>
  </si>
  <si>
    <t>Total presupuesto de ingresos</t>
  </si>
  <si>
    <t>Presupuesto de egresos</t>
  </si>
  <si>
    <t>Compras mayo (para junio)</t>
  </si>
  <si>
    <t>Compras junio (para julio)</t>
  </si>
  <si>
    <t>Compras julio (para agosto)</t>
  </si>
  <si>
    <t>Compras agosto (para septiembre)</t>
  </si>
  <si>
    <t>Compras septiembre (para octubre)</t>
  </si>
  <si>
    <t>Compras octubre (para noviembre)</t>
  </si>
  <si>
    <t>Compras noviembre (para diciembre)</t>
  </si>
  <si>
    <t>Compras diciembre (para noviembre)</t>
  </si>
  <si>
    <t>Acondicionamiento oficina</t>
  </si>
  <si>
    <t>Pago prestamos</t>
  </si>
  <si>
    <t>Previcion hs extra</t>
  </si>
  <si>
    <t>Hs extras</t>
  </si>
  <si>
    <t>los diferidos sin signo</t>
  </si>
  <si>
    <t>Gastos fijos</t>
  </si>
  <si>
    <t>Otras deudas</t>
  </si>
  <si>
    <t>Acreedores</t>
  </si>
  <si>
    <t>Compra mobiliario</t>
  </si>
  <si>
    <t>Total presupuesto de egresos</t>
  </si>
  <si>
    <t>Diferencia</t>
  </si>
  <si>
    <t>BALANCE PROYECTADO</t>
  </si>
  <si>
    <t>ACTIVO</t>
  </si>
  <si>
    <t>PASIVO + PN</t>
  </si>
  <si>
    <t>PASIVO</t>
  </si>
  <si>
    <t>Mercaderia</t>
  </si>
  <si>
    <t>Gastos fijos a pagar</t>
  </si>
  <si>
    <t>Amortizacion</t>
  </si>
  <si>
    <t>Proveedores</t>
  </si>
  <si>
    <t>hs extras a pagar</t>
  </si>
  <si>
    <t>Deudores por ventas</t>
  </si>
  <si>
    <t>sueldo de seg a pagar</t>
  </si>
  <si>
    <t>inmuebles</t>
  </si>
  <si>
    <t>com a pagar</t>
  </si>
  <si>
    <t>maq</t>
  </si>
  <si>
    <t>PN</t>
  </si>
  <si>
    <t>mobiliario</t>
  </si>
  <si>
    <t>Capital</t>
  </si>
  <si>
    <t>Alquiler a cobrar</t>
  </si>
  <si>
    <t>Resultado del ejercicio</t>
  </si>
  <si>
    <t>prev hs extra</t>
  </si>
  <si>
    <t>Total Activo</t>
  </si>
  <si>
    <t>Total Pasivo+PN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</si>
</sst>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0_ ;[Red]\-0\ "/>
  </numFmts>
  <fonts count="19">
    <font>
      <sz val="11.0"/>
      <color theme="1"/>
      <name val="Arial"/>
    </font>
    <font>
      <b/>
      <sz val="9.0"/>
      <color theme="1"/>
      <name val="Verdana"/>
    </font>
    <font/>
    <font>
      <sz val="9.0"/>
      <color theme="1"/>
      <name val="Verdana"/>
    </font>
    <font>
      <i/>
      <sz val="9.0"/>
      <color theme="1"/>
      <name val="Verdana"/>
    </font>
    <font>
      <b/>
      <i/>
      <sz val="9.0"/>
      <color theme="1"/>
      <name val="Verdana"/>
    </font>
    <font>
      <sz val="10.0"/>
      <color theme="1"/>
      <name val="Verdana"/>
    </font>
    <font>
      <b/>
      <sz val="10.0"/>
      <color theme="1"/>
      <name val="Arial"/>
    </font>
    <font>
      <sz val="11.0"/>
      <color theme="1"/>
      <name val="Calibri"/>
    </font>
    <font>
      <sz val="11.0"/>
      <color rgb="FF000000"/>
      <name val="Calibri"/>
    </font>
    <font>
      <sz val="20.0"/>
      <color theme="1"/>
      <name val="Calibri"/>
    </font>
    <font>
      <sz val="18.0"/>
      <color theme="1"/>
      <name val="Calibri"/>
    </font>
    <font>
      <sz val="10.0"/>
      <color theme="1"/>
      <name val="Arial"/>
    </font>
    <font>
      <sz val="10.0"/>
      <color theme="1"/>
      <name val="Noto Sans Symbols"/>
    </font>
    <font>
      <color theme="1"/>
      <name val="Calibri"/>
    </font>
    <font>
      <b/>
      <sz val="12.0"/>
      <color theme="1"/>
      <name val="Arial"/>
    </font>
    <font>
      <sz val="11.0"/>
      <color theme="1"/>
      <name val="Verdana"/>
    </font>
    <font>
      <b/>
      <sz val="11.0"/>
      <color theme="1"/>
      <name val="Verdana"/>
    </font>
    <font>
      <b/>
      <i/>
      <sz val="11.0"/>
      <color theme="1"/>
      <name val="Verdana"/>
    </font>
  </fonts>
  <fills count="10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D9E2F3"/>
        <bgColor rgb="FFD9E2F3"/>
      </patternFill>
    </fill>
    <fill>
      <patternFill patternType="solid">
        <fgColor rgb="FFC5E0B3"/>
        <bgColor rgb="FFC5E0B3"/>
      </patternFill>
    </fill>
    <fill>
      <patternFill patternType="solid">
        <fgColor rgb="FFEA9999"/>
        <bgColor rgb="FFEA9999"/>
      </patternFill>
    </fill>
    <fill>
      <patternFill patternType="solid">
        <fgColor theme="0"/>
        <bgColor theme="0"/>
      </patternFill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</fills>
  <borders count="4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/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 style="medium">
        <color rgb="FF000000"/>
      </left>
      <right style="medium">
        <color rgb="FF000000"/>
      </right>
      <top/>
      <bottom/>
    </border>
    <border>
      <left style="thin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 style="medium">
        <color rgb="FF000000"/>
      </top>
    </border>
    <border>
      <left/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/>
      <right/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/>
      <top/>
      <bottom/>
    </border>
  </borders>
  <cellStyleXfs count="1">
    <xf borderId="0" fillId="0" fontId="0" numFmtId="0" applyAlignment="1" applyFont="1"/>
  </cellStyleXfs>
  <cellXfs count="1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3" fontId="1" numFmtId="0" xfId="0" applyAlignment="1" applyBorder="1" applyFill="1" applyFont="1">
      <alignment horizontal="center" vertical="center"/>
    </xf>
    <xf borderId="1" fillId="3" fontId="1" numFmtId="0" xfId="0" applyAlignment="1" applyBorder="1" applyFont="1">
      <alignment horizontal="center"/>
    </xf>
    <xf borderId="5" fillId="0" fontId="2" numFmtId="0" xfId="0" applyBorder="1" applyFont="1"/>
    <xf borderId="6" fillId="3" fontId="1" numFmtId="0" xfId="0" applyAlignment="1" applyBorder="1" applyFont="1">
      <alignment horizontal="center" readingOrder="0"/>
    </xf>
    <xf borderId="0" fillId="0" fontId="3" numFmtId="0" xfId="0" applyAlignment="1" applyFont="1">
      <alignment readingOrder="0"/>
    </xf>
    <xf borderId="7" fillId="0" fontId="3" numFmtId="0" xfId="0" applyAlignment="1" applyBorder="1" applyFont="1">
      <alignment readingOrder="0"/>
    </xf>
    <xf borderId="7" fillId="0" fontId="3" numFmtId="164" xfId="0" applyAlignment="1" applyBorder="1" applyFont="1" applyNumberFormat="1">
      <alignment readingOrder="0"/>
    </xf>
    <xf borderId="7" fillId="0" fontId="3" numFmtId="164" xfId="0" applyBorder="1" applyFont="1" applyNumberFormat="1"/>
    <xf borderId="8" fillId="0" fontId="3" numFmtId="0" xfId="0" applyAlignment="1" applyBorder="1" applyFont="1">
      <alignment readingOrder="0"/>
    </xf>
    <xf borderId="8" fillId="0" fontId="3" numFmtId="164" xfId="0" applyBorder="1" applyFont="1" applyNumberFormat="1"/>
    <xf borderId="9" fillId="3" fontId="4" numFmtId="0" xfId="0" applyAlignment="1" applyBorder="1" applyFont="1">
      <alignment readingOrder="0" vertical="center"/>
    </xf>
    <xf borderId="9" fillId="3" fontId="5" numFmtId="164" xfId="0" applyBorder="1" applyFont="1" applyNumberFormat="1"/>
    <xf borderId="0" fillId="0" fontId="3" numFmtId="165" xfId="0" applyFont="1" applyNumberFormat="1"/>
    <xf borderId="8" fillId="0" fontId="3" numFmtId="164" xfId="0" applyAlignment="1" applyBorder="1" applyFont="1" applyNumberFormat="1">
      <alignment readingOrder="0"/>
    </xf>
    <xf borderId="10" fillId="0" fontId="3" numFmtId="0" xfId="0" applyAlignment="1" applyBorder="1" applyFont="1">
      <alignment readingOrder="0"/>
    </xf>
    <xf borderId="10" fillId="0" fontId="3" numFmtId="164" xfId="0" applyBorder="1" applyFont="1" applyNumberFormat="1"/>
    <xf borderId="11" fillId="0" fontId="3" numFmtId="0" xfId="0" applyAlignment="1" applyBorder="1" applyFont="1">
      <alignment readingOrder="0"/>
    </xf>
    <xf borderId="11" fillId="0" fontId="3" numFmtId="164" xfId="0" applyBorder="1" applyFont="1" applyNumberFormat="1"/>
    <xf borderId="10" fillId="0" fontId="3" numFmtId="164" xfId="0" applyAlignment="1" applyBorder="1" applyFont="1" applyNumberFormat="1">
      <alignment readingOrder="0"/>
    </xf>
    <xf borderId="6" fillId="3" fontId="4" numFmtId="0" xfId="0" applyAlignment="1" applyBorder="1" applyFont="1">
      <alignment readingOrder="0" vertical="center"/>
    </xf>
    <xf borderId="6" fillId="3" fontId="1" numFmtId="164" xfId="0" applyAlignment="1" applyBorder="1" applyFont="1" applyNumberFormat="1">
      <alignment vertical="center"/>
    </xf>
    <xf borderId="0" fillId="0" fontId="3" numFmtId="2" xfId="0" applyAlignment="1" applyFont="1" applyNumberFormat="1">
      <alignment readingOrder="0"/>
    </xf>
    <xf borderId="0" fillId="0" fontId="3" numFmtId="164" xfId="0" applyFont="1" applyNumberFormat="1"/>
    <xf borderId="0" fillId="0" fontId="3" numFmtId="2" xfId="0" applyAlignment="1" applyFont="1" applyNumberFormat="1">
      <alignment readingOrder="0" shrinkToFit="0" wrapText="1"/>
    </xf>
    <xf borderId="0" fillId="0" fontId="6" numFmtId="0" xfId="0" applyAlignment="1" applyFont="1">
      <alignment readingOrder="0"/>
    </xf>
    <xf borderId="0" fillId="0" fontId="6" numFmtId="0" xfId="0" applyFont="1"/>
    <xf borderId="12" fillId="0" fontId="7" numFmtId="0" xfId="0" applyAlignment="1" applyBorder="1" applyFont="1">
      <alignment horizontal="center"/>
    </xf>
    <xf borderId="13" fillId="0" fontId="7" numFmtId="0" xfId="0" applyAlignment="1" applyBorder="1" applyFont="1">
      <alignment horizontal="center"/>
    </xf>
    <xf borderId="14" fillId="0" fontId="7" numFmtId="0" xfId="0" applyAlignment="1" applyBorder="1" applyFont="1">
      <alignment horizontal="center"/>
    </xf>
    <xf borderId="15" fillId="4" fontId="8" numFmtId="10" xfId="0" applyAlignment="1" applyBorder="1" applyFill="1" applyFont="1" applyNumberFormat="1">
      <alignment horizontal="center"/>
    </xf>
    <xf borderId="16" fillId="4" fontId="8" numFmtId="10" xfId="0" applyAlignment="1" applyBorder="1" applyFont="1" applyNumberFormat="1">
      <alignment horizontal="center"/>
    </xf>
    <xf borderId="16" fillId="4" fontId="9" numFmtId="10" xfId="0" applyAlignment="1" applyBorder="1" applyFont="1" applyNumberFormat="1">
      <alignment horizontal="center" readingOrder="0"/>
    </xf>
    <xf borderId="17" fillId="4" fontId="9" numFmtId="10" xfId="0" applyAlignment="1" applyBorder="1" applyFont="1" applyNumberFormat="1">
      <alignment horizontal="center" readingOrder="0"/>
    </xf>
    <xf borderId="4" fillId="4" fontId="10" numFmtId="0" xfId="0" applyAlignment="1" applyBorder="1" applyFont="1">
      <alignment horizontal="center" vertical="center"/>
    </xf>
    <xf borderId="18" fillId="4" fontId="9" numFmtId="0" xfId="0" applyAlignment="1" applyBorder="1" applyFont="1">
      <alignment horizontal="center" readingOrder="0"/>
    </xf>
    <xf borderId="19" fillId="4" fontId="9" numFmtId="0" xfId="0" applyAlignment="1" applyBorder="1" applyFont="1">
      <alignment horizontal="center" readingOrder="0"/>
    </xf>
    <xf borderId="19" fillId="4" fontId="9" numFmtId="9" xfId="0" applyAlignment="1" applyBorder="1" applyFont="1" applyNumberFormat="1">
      <alignment horizontal="center" readingOrder="0"/>
    </xf>
    <xf borderId="20" fillId="4" fontId="9" numFmtId="9" xfId="0" applyAlignment="1" applyBorder="1" applyFont="1" applyNumberFormat="1">
      <alignment horizontal="center" readingOrder="0"/>
    </xf>
    <xf borderId="21" fillId="0" fontId="2" numFmtId="0" xfId="0" applyBorder="1" applyFont="1"/>
    <xf borderId="22" fillId="4" fontId="8" numFmtId="164" xfId="0" applyAlignment="1" applyBorder="1" applyFont="1" applyNumberFormat="1">
      <alignment horizontal="center"/>
    </xf>
    <xf borderId="23" fillId="4" fontId="8" numFmtId="164" xfId="0" applyAlignment="1" applyBorder="1" applyFont="1" applyNumberFormat="1">
      <alignment horizontal="center"/>
    </xf>
    <xf borderId="23" fillId="4" fontId="9" numFmtId="164" xfId="0" applyAlignment="1" applyBorder="1" applyFont="1" applyNumberFormat="1">
      <alignment horizontal="center" readingOrder="0"/>
    </xf>
    <xf borderId="24" fillId="4" fontId="9" numFmtId="164" xfId="0" applyAlignment="1" applyBorder="1" applyFont="1" applyNumberFormat="1">
      <alignment horizontal="center" readingOrder="0"/>
    </xf>
    <xf borderId="15" fillId="5" fontId="8" numFmtId="10" xfId="0" applyAlignment="1" applyBorder="1" applyFill="1" applyFont="1" applyNumberFormat="1">
      <alignment horizontal="center"/>
    </xf>
    <xf borderId="16" fillId="5" fontId="9" numFmtId="10" xfId="0" applyAlignment="1" applyBorder="1" applyFont="1" applyNumberFormat="1">
      <alignment horizontal="center" readingOrder="0"/>
    </xf>
    <xf borderId="16" fillId="5" fontId="9" numFmtId="10" xfId="0" applyAlignment="1" applyBorder="1" applyFont="1" applyNumberFormat="1">
      <alignment horizontal="center"/>
    </xf>
    <xf borderId="4" fillId="5" fontId="11" numFmtId="0" xfId="0" applyAlignment="1" applyBorder="1" applyFont="1">
      <alignment horizontal="center" vertical="center"/>
    </xf>
    <xf borderId="18" fillId="5" fontId="12" numFmtId="0" xfId="0" applyAlignment="1" applyBorder="1" applyFont="1">
      <alignment horizontal="center" readingOrder="0"/>
    </xf>
    <xf borderId="19" fillId="5" fontId="13" numFmtId="0" xfId="0" applyAlignment="1" applyBorder="1" applyFont="1">
      <alignment horizontal="center"/>
    </xf>
    <xf borderId="19" fillId="5" fontId="8" numFmtId="9" xfId="0" applyAlignment="1" applyBorder="1" applyFont="1" applyNumberFormat="1">
      <alignment horizontal="center"/>
    </xf>
    <xf borderId="19" fillId="5" fontId="8" numFmtId="0" xfId="0" applyAlignment="1" applyBorder="1" applyFont="1">
      <alignment horizontal="center"/>
    </xf>
    <xf borderId="0" fillId="0" fontId="14" numFmtId="0" xfId="0" applyAlignment="1" applyFont="1">
      <alignment readingOrder="0"/>
    </xf>
    <xf borderId="22" fillId="5" fontId="8" numFmtId="164" xfId="0" applyAlignment="1" applyBorder="1" applyFont="1" applyNumberFormat="1">
      <alignment horizontal="center"/>
    </xf>
    <xf borderId="23" fillId="5" fontId="9" numFmtId="164" xfId="0" applyAlignment="1" applyBorder="1" applyFont="1" applyNumberFormat="1">
      <alignment horizontal="center" readingOrder="0"/>
    </xf>
    <xf borderId="23" fillId="5" fontId="9" numFmtId="164" xfId="0" applyAlignment="1" applyBorder="1" applyFont="1" applyNumberFormat="1">
      <alignment horizontal="center"/>
    </xf>
    <xf borderId="0" fillId="0" fontId="8" numFmtId="0" xfId="0" applyAlignment="1" applyFont="1">
      <alignment horizontal="center"/>
    </xf>
    <xf borderId="0" fillId="0" fontId="15" numFmtId="0" xfId="0" applyAlignment="1" applyFont="1">
      <alignment horizontal="center"/>
    </xf>
    <xf borderId="25" fillId="3" fontId="1" numFmtId="0" xfId="0" applyAlignment="1" applyBorder="1" applyFont="1">
      <alignment horizontal="center" vertical="center"/>
    </xf>
    <xf borderId="26" fillId="0" fontId="2" numFmtId="0" xfId="0" applyBorder="1" applyFont="1"/>
    <xf borderId="27" fillId="0" fontId="1" numFmtId="0" xfId="0" applyBorder="1" applyFont="1"/>
    <xf borderId="7" fillId="0" fontId="3" numFmtId="164" xfId="0" applyAlignment="1" applyBorder="1" applyFont="1" applyNumberFormat="1">
      <alignment horizontal="right"/>
    </xf>
    <xf borderId="7" fillId="0" fontId="1" numFmtId="164" xfId="0" applyAlignment="1" applyBorder="1" applyFont="1" applyNumberFormat="1">
      <alignment horizontal="right"/>
    </xf>
    <xf borderId="28" fillId="0" fontId="3" numFmtId="164" xfId="0" applyBorder="1" applyFont="1" applyNumberFormat="1"/>
    <xf borderId="27" fillId="0" fontId="1" numFmtId="0" xfId="0" applyAlignment="1" applyBorder="1" applyFont="1">
      <alignment readingOrder="0"/>
    </xf>
    <xf borderId="7" fillId="0" fontId="3" numFmtId="164" xfId="0" applyAlignment="1" applyBorder="1" applyFont="1" applyNumberFormat="1">
      <alignment horizontal="right" readingOrder="0"/>
    </xf>
    <xf borderId="27" fillId="0" fontId="3" numFmtId="0" xfId="0" applyAlignment="1" applyBorder="1" applyFont="1">
      <alignment readingOrder="0"/>
    </xf>
    <xf borderId="8" fillId="0" fontId="14" numFmtId="0" xfId="0" applyBorder="1" applyFont="1"/>
    <xf borderId="29" fillId="0" fontId="3" numFmtId="0" xfId="0" applyAlignment="1" applyBorder="1" applyFont="1">
      <alignment readingOrder="0"/>
    </xf>
    <xf borderId="8" fillId="0" fontId="3" numFmtId="164" xfId="0" applyAlignment="1" applyBorder="1" applyFont="1" applyNumberFormat="1">
      <alignment horizontal="right"/>
    </xf>
    <xf borderId="30" fillId="0" fontId="3" numFmtId="164" xfId="0" applyBorder="1" applyFont="1" applyNumberFormat="1"/>
    <xf borderId="8" fillId="0" fontId="3" numFmtId="164" xfId="0" applyAlignment="1" applyBorder="1" applyFont="1" applyNumberFormat="1">
      <alignment horizontal="right" readingOrder="0"/>
    </xf>
    <xf borderId="31" fillId="0" fontId="3" numFmtId="0" xfId="0" applyAlignment="1" applyBorder="1" applyFont="1">
      <alignment readingOrder="0"/>
    </xf>
    <xf borderId="10" fillId="0" fontId="3" numFmtId="164" xfId="0" applyAlignment="1" applyBorder="1" applyFont="1" applyNumberFormat="1">
      <alignment horizontal="right"/>
    </xf>
    <xf borderId="32" fillId="0" fontId="3" numFmtId="164" xfId="0" applyBorder="1" applyFont="1" applyNumberFormat="1"/>
    <xf borderId="10" fillId="0" fontId="3" numFmtId="164" xfId="0" applyAlignment="1" applyBorder="1" applyFont="1" applyNumberFormat="1">
      <alignment horizontal="right" readingOrder="0"/>
    </xf>
    <xf borderId="32" fillId="0" fontId="3" numFmtId="164" xfId="0" applyAlignment="1" applyBorder="1" applyFont="1" applyNumberFormat="1">
      <alignment readingOrder="0"/>
    </xf>
    <xf borderId="10" fillId="6" fontId="3" numFmtId="164" xfId="0" applyAlignment="1" applyBorder="1" applyFill="1" applyFont="1" applyNumberFormat="1">
      <alignment horizontal="right"/>
    </xf>
    <xf borderId="33" fillId="0" fontId="1" numFmtId="0" xfId="0" applyBorder="1" applyFont="1"/>
    <xf borderId="11" fillId="0" fontId="1" numFmtId="164" xfId="0" applyAlignment="1" applyBorder="1" applyFont="1" applyNumberFormat="1">
      <alignment horizontal="right"/>
    </xf>
    <xf borderId="34" fillId="0" fontId="1" numFmtId="164" xfId="0" applyBorder="1" applyFont="1" applyNumberFormat="1"/>
    <xf borderId="35" fillId="7" fontId="3" numFmtId="164" xfId="0" applyBorder="1" applyFill="1" applyFont="1" applyNumberFormat="1"/>
    <xf borderId="36" fillId="7" fontId="1" numFmtId="0" xfId="0" applyAlignment="1" applyBorder="1" applyFont="1">
      <alignment readingOrder="0"/>
    </xf>
    <xf borderId="30" fillId="7" fontId="3" numFmtId="164" xfId="0" applyBorder="1" applyFont="1" applyNumberFormat="1"/>
    <xf borderId="36" fillId="7" fontId="1" numFmtId="165" xfId="0" applyAlignment="1" applyBorder="1" applyFont="1" applyNumberFormat="1">
      <alignment readingOrder="0"/>
    </xf>
    <xf borderId="8" fillId="7" fontId="3" numFmtId="164" xfId="0" applyBorder="1" applyFont="1" applyNumberFormat="1"/>
    <xf borderId="36" fillId="7" fontId="3" numFmtId="0" xfId="0" applyAlignment="1" applyBorder="1" applyFont="1">
      <alignment readingOrder="0"/>
    </xf>
    <xf borderId="30" fillId="7" fontId="1" numFmtId="164" xfId="0" applyBorder="1" applyFont="1" applyNumberFormat="1"/>
    <xf borderId="8" fillId="6" fontId="3" numFmtId="164" xfId="0" applyAlignment="1" applyBorder="1" applyFont="1" applyNumberFormat="1">
      <alignment horizontal="right" readingOrder="0"/>
    </xf>
    <xf borderId="30" fillId="7" fontId="3" numFmtId="164" xfId="0" applyAlignment="1" applyBorder="1" applyFont="1" applyNumberFormat="1">
      <alignment readingOrder="0"/>
    </xf>
    <xf borderId="30" fillId="0" fontId="3" numFmtId="164" xfId="0" applyAlignment="1" applyBorder="1" applyFont="1" applyNumberFormat="1">
      <alignment readingOrder="0"/>
    </xf>
    <xf borderId="37" fillId="0" fontId="3" numFmtId="0" xfId="0" applyAlignment="1" applyBorder="1" applyFont="1">
      <alignment readingOrder="0"/>
    </xf>
    <xf borderId="38" fillId="0" fontId="3" numFmtId="164" xfId="0" applyBorder="1" applyFont="1" applyNumberFormat="1"/>
    <xf borderId="8" fillId="6" fontId="3" numFmtId="164" xfId="0" applyAlignment="1" applyBorder="1" applyFont="1" applyNumberFormat="1">
      <alignment horizontal="right"/>
    </xf>
    <xf borderId="7" fillId="6" fontId="3" numFmtId="164" xfId="0" applyAlignment="1" applyBorder="1" applyFont="1" applyNumberFormat="1">
      <alignment horizontal="right"/>
    </xf>
    <xf borderId="39" fillId="0" fontId="1" numFmtId="0" xfId="0" applyBorder="1" applyFont="1"/>
    <xf borderId="40" fillId="0" fontId="3" numFmtId="164" xfId="0" applyAlignment="1" applyBorder="1" applyFont="1" applyNumberFormat="1">
      <alignment horizontal="right"/>
    </xf>
    <xf borderId="41" fillId="0" fontId="3" numFmtId="164" xfId="0" applyBorder="1" applyFont="1" applyNumberFormat="1"/>
    <xf borderId="42" fillId="0" fontId="1" numFmtId="0" xfId="0" applyAlignment="1" applyBorder="1" applyFont="1">
      <alignment readingOrder="0"/>
    </xf>
    <xf borderId="43" fillId="0" fontId="3" numFmtId="164" xfId="0" applyBorder="1" applyFont="1" applyNumberFormat="1"/>
    <xf borderId="3" fillId="0" fontId="3" numFmtId="164" xfId="0" applyBorder="1" applyFont="1" applyNumberFormat="1"/>
    <xf borderId="38" fillId="8" fontId="1" numFmtId="0" xfId="0" applyAlignment="1" applyBorder="1" applyFill="1" applyFont="1">
      <alignment horizontal="center"/>
    </xf>
    <xf borderId="37" fillId="0" fontId="2" numFmtId="0" xfId="0" applyBorder="1" applyFont="1"/>
    <xf borderId="36" fillId="8" fontId="3" numFmtId="0" xfId="0" applyBorder="1" applyFont="1"/>
    <xf borderId="8" fillId="9" fontId="16" numFmtId="0" xfId="0" applyAlignment="1" applyBorder="1" applyFill="1" applyFont="1">
      <alignment readingOrder="0"/>
    </xf>
    <xf borderId="8" fillId="9" fontId="16" numFmtId="165" xfId="0" applyBorder="1" applyFont="1" applyNumberFormat="1"/>
    <xf borderId="36" fillId="9" fontId="3" numFmtId="0" xfId="0" applyBorder="1" applyFont="1"/>
    <xf borderId="8" fillId="9" fontId="17" numFmtId="0" xfId="0" applyAlignment="1" applyBorder="1" applyFont="1">
      <alignment horizontal="center"/>
    </xf>
    <xf borderId="8" fillId="9" fontId="16" numFmtId="1" xfId="0" applyBorder="1" applyFont="1" applyNumberFormat="1"/>
    <xf borderId="8" fillId="9" fontId="16" numFmtId="165" xfId="0" applyAlignment="1" applyBorder="1" applyFont="1" applyNumberFormat="1">
      <alignment readingOrder="0"/>
    </xf>
    <xf borderId="8" fillId="9" fontId="16" numFmtId="1" xfId="0" applyAlignment="1" applyBorder="1" applyFont="1" applyNumberFormat="1">
      <alignment readingOrder="0"/>
    </xf>
    <xf borderId="44" fillId="9" fontId="3" numFmtId="0" xfId="0" applyBorder="1" applyFont="1"/>
    <xf borderId="8" fillId="0" fontId="14" numFmtId="0" xfId="0" applyAlignment="1" applyBorder="1" applyFont="1">
      <alignment readingOrder="0"/>
    </xf>
    <xf borderId="8" fillId="0" fontId="14" numFmtId="164" xfId="0" applyAlignment="1" applyBorder="1" applyFont="1" applyNumberFormat="1">
      <alignment readingOrder="0"/>
    </xf>
    <xf borderId="8" fillId="9" fontId="3" numFmtId="0" xfId="0" applyBorder="1" applyFont="1"/>
    <xf borderId="8" fillId="9" fontId="3" numFmtId="165" xfId="0" applyBorder="1" applyFont="1" applyNumberFormat="1"/>
    <xf borderId="8" fillId="9" fontId="16" numFmtId="0" xfId="0" applyBorder="1" applyFont="1"/>
    <xf borderId="8" fillId="9" fontId="3" numFmtId="1" xfId="0" applyBorder="1" applyFont="1" applyNumberFormat="1"/>
    <xf borderId="8" fillId="9" fontId="18" numFmtId="0" xfId="0" applyBorder="1" applyFont="1"/>
    <xf borderId="8" fillId="9" fontId="18" numFmtId="165" xfId="0" applyBorder="1" applyFont="1" applyNumberFormat="1"/>
    <xf borderId="36" fillId="9" fontId="16" numFmtId="0" xfId="0" applyBorder="1" applyFont="1"/>
    <xf borderId="8" fillId="9" fontId="18" numFmtId="1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5"/>
    <pageSetUpPr/>
  </sheetPr>
  <sheetViews>
    <sheetView workbookViewId="0"/>
  </sheetViews>
  <sheetFormatPr customHeight="1" defaultColWidth="12.63" defaultRowHeight="15.0"/>
  <cols>
    <col customWidth="1" min="1" max="1" width="29.13"/>
    <col customWidth="1" min="2" max="7" width="10.0"/>
    <col customWidth="1" min="8" max="8" width="17.25"/>
    <col customWidth="1" min="9" max="9" width="10.0"/>
    <col customWidth="1" min="10" max="29" width="9.38"/>
  </cols>
  <sheetData>
    <row r="1" ht="11.25" customHeight="1">
      <c r="A1" s="1"/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1.2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ht="11.25" customHeight="1">
      <c r="A3" s="5" t="s">
        <v>0</v>
      </c>
      <c r="B3" s="6"/>
      <c r="C3" s="2"/>
      <c r="D3" s="2"/>
      <c r="E3" s="2"/>
      <c r="F3" s="2"/>
      <c r="G3" s="3"/>
      <c r="H3" s="5" t="s">
        <v>1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ht="11.25" customHeight="1">
      <c r="A4" s="7"/>
      <c r="B4" s="8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  <c r="H4" s="7"/>
      <c r="I4" s="4"/>
      <c r="J4" s="9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ht="11.25" customHeight="1">
      <c r="A5" s="10" t="s">
        <v>8</v>
      </c>
      <c r="B5" s="11">
        <v>14000.0</v>
      </c>
      <c r="C5" s="11">
        <v>15000.0</v>
      </c>
      <c r="D5" s="11">
        <v>16000.0</v>
      </c>
      <c r="E5" s="11">
        <v>17000.0</v>
      </c>
      <c r="F5" s="11">
        <v>18000.0</v>
      </c>
      <c r="G5" s="11">
        <v>19000.0</v>
      </c>
      <c r="H5" s="12">
        <f t="shared" ref="H5:H20" si="2">sum(B5:G5)</f>
        <v>99000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ht="11.25" customHeight="1">
      <c r="A6" s="13" t="s">
        <v>9</v>
      </c>
      <c r="B6" s="14">
        <f t="shared" ref="B6:G6" si="1">-0.4*B5</f>
        <v>-5600</v>
      </c>
      <c r="C6" s="14">
        <f t="shared" si="1"/>
        <v>-6000</v>
      </c>
      <c r="D6" s="14">
        <f t="shared" si="1"/>
        <v>-6400</v>
      </c>
      <c r="E6" s="14">
        <f t="shared" si="1"/>
        <v>-6800</v>
      </c>
      <c r="F6" s="14">
        <f t="shared" si="1"/>
        <v>-7200</v>
      </c>
      <c r="G6" s="14">
        <f t="shared" si="1"/>
        <v>-7600</v>
      </c>
      <c r="H6" s="12">
        <f t="shared" si="2"/>
        <v>-39600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ht="11.25" customHeight="1">
      <c r="A7" s="15" t="s">
        <v>10</v>
      </c>
      <c r="B7" s="16">
        <f t="shared" ref="B7:G7" si="3">0.6*B5</f>
        <v>8400</v>
      </c>
      <c r="C7" s="16">
        <f t="shared" si="3"/>
        <v>9000</v>
      </c>
      <c r="D7" s="16">
        <f t="shared" si="3"/>
        <v>9600</v>
      </c>
      <c r="E7" s="16">
        <f t="shared" si="3"/>
        <v>10200</v>
      </c>
      <c r="F7" s="16">
        <f t="shared" si="3"/>
        <v>10800</v>
      </c>
      <c r="G7" s="16">
        <f t="shared" si="3"/>
        <v>11400</v>
      </c>
      <c r="H7" s="16">
        <f t="shared" si="2"/>
        <v>59400</v>
      </c>
      <c r="I7" s="17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ht="11.25" customHeight="1">
      <c r="A8" s="10" t="s">
        <v>11</v>
      </c>
      <c r="B8" s="18">
        <f t="shared" ref="B8:G8" si="4">-(500+200+600+400)</f>
        <v>-1700</v>
      </c>
      <c r="C8" s="18">
        <f t="shared" si="4"/>
        <v>-1700</v>
      </c>
      <c r="D8" s="18">
        <f t="shared" si="4"/>
        <v>-1700</v>
      </c>
      <c r="E8" s="18">
        <f t="shared" si="4"/>
        <v>-1700</v>
      </c>
      <c r="F8" s="18">
        <f t="shared" si="4"/>
        <v>-1700</v>
      </c>
      <c r="G8" s="18">
        <f t="shared" si="4"/>
        <v>-1700</v>
      </c>
      <c r="H8" s="14">
        <f t="shared" si="2"/>
        <v>-10200</v>
      </c>
      <c r="I8" s="9"/>
      <c r="J8" s="9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ht="11.25" customHeight="1">
      <c r="A9" s="13" t="s">
        <v>12</v>
      </c>
      <c r="B9" s="14">
        <f t="shared" ref="B9:D9" si="5">-(15000/5)/12</f>
        <v>-250</v>
      </c>
      <c r="C9" s="14">
        <f t="shared" si="5"/>
        <v>-250</v>
      </c>
      <c r="D9" s="14">
        <f t="shared" si="5"/>
        <v>-250</v>
      </c>
      <c r="E9" s="14">
        <f t="shared" ref="E9:G9" si="6">(-15000*0.5/5)/12</f>
        <v>-125</v>
      </c>
      <c r="F9" s="14">
        <f t="shared" si="6"/>
        <v>-125</v>
      </c>
      <c r="G9" s="14">
        <f t="shared" si="6"/>
        <v>-125</v>
      </c>
      <c r="H9" s="14">
        <f t="shared" si="2"/>
        <v>-1125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ht="11.25" customHeight="1">
      <c r="A10" s="13" t="s">
        <v>13</v>
      </c>
      <c r="B10" s="14"/>
      <c r="C10" s="14">
        <f t="shared" ref="C10:G10" si="7">-(15000/10)/12</f>
        <v>-125</v>
      </c>
      <c r="D10" s="14">
        <f t="shared" si="7"/>
        <v>-125</v>
      </c>
      <c r="E10" s="14">
        <f t="shared" si="7"/>
        <v>-125</v>
      </c>
      <c r="F10" s="14">
        <f t="shared" si="7"/>
        <v>-125</v>
      </c>
      <c r="G10" s="14">
        <f t="shared" si="7"/>
        <v>-125</v>
      </c>
      <c r="H10" s="14">
        <f t="shared" si="2"/>
        <v>-625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ht="11.25" customHeight="1">
      <c r="A11" s="13" t="s">
        <v>14</v>
      </c>
      <c r="B11" s="14">
        <f t="shared" ref="B11:G11" si="8">-(120000/50)/12</f>
        <v>-200</v>
      </c>
      <c r="C11" s="14">
        <f t="shared" si="8"/>
        <v>-200</v>
      </c>
      <c r="D11" s="14">
        <f t="shared" si="8"/>
        <v>-200</v>
      </c>
      <c r="E11" s="14">
        <f t="shared" si="8"/>
        <v>-200</v>
      </c>
      <c r="F11" s="14">
        <f t="shared" si="8"/>
        <v>-200</v>
      </c>
      <c r="G11" s="14">
        <f t="shared" si="8"/>
        <v>-200</v>
      </c>
      <c r="H11" s="14">
        <f t="shared" si="2"/>
        <v>-1200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ht="11.25" customHeight="1">
      <c r="A12" s="13" t="s">
        <v>15</v>
      </c>
      <c r="B12" s="14"/>
      <c r="C12" s="18"/>
      <c r="D12" s="14">
        <f>1800+600</f>
        <v>2400</v>
      </c>
      <c r="E12" s="14">
        <f t="shared" ref="E12:G12" si="9">1800</f>
        <v>1800</v>
      </c>
      <c r="F12" s="14">
        <f t="shared" si="9"/>
        <v>1800</v>
      </c>
      <c r="G12" s="14">
        <f t="shared" si="9"/>
        <v>1800</v>
      </c>
      <c r="H12" s="14">
        <f t="shared" si="2"/>
        <v>7800</v>
      </c>
      <c r="I12" s="9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ht="11.25" customHeight="1">
      <c r="A13" s="13" t="s">
        <v>16</v>
      </c>
      <c r="B13" s="14"/>
      <c r="C13" s="14"/>
      <c r="D13" s="14"/>
      <c r="E13" s="14">
        <f>-200</f>
        <v>-200</v>
      </c>
      <c r="F13" s="14">
        <f t="shared" ref="F13:G13" si="10">-500</f>
        <v>-500</v>
      </c>
      <c r="G13" s="14">
        <f t="shared" si="10"/>
        <v>-500</v>
      </c>
      <c r="H13" s="14">
        <f t="shared" si="2"/>
        <v>-1200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ht="11.25" customHeight="1">
      <c r="A14" s="13" t="s">
        <v>17</v>
      </c>
      <c r="B14" s="14"/>
      <c r="C14" s="14"/>
      <c r="D14" s="14">
        <f>0.2*0.5*(15000-3000+sum(B9:D9))</f>
        <v>1125</v>
      </c>
      <c r="E14" s="14"/>
      <c r="F14" s="14"/>
      <c r="G14" s="14"/>
      <c r="H14" s="14">
        <f t="shared" si="2"/>
        <v>1125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ht="11.25" customHeight="1">
      <c r="A15" s="13" t="s">
        <v>18</v>
      </c>
      <c r="B15" s="14">
        <f>-2100</f>
        <v>-2100</v>
      </c>
      <c r="C15" s="14"/>
      <c r="D15" s="14"/>
      <c r="E15" s="18"/>
      <c r="G15" s="18"/>
      <c r="H15" s="14">
        <f t="shared" si="2"/>
        <v>-2100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ht="11.25" customHeight="1">
      <c r="A16" s="9" t="s">
        <v>19</v>
      </c>
      <c r="B16" s="18">
        <v>-800.0</v>
      </c>
      <c r="C16" s="18">
        <v>-800.0</v>
      </c>
      <c r="D16" s="18">
        <v>-800.0</v>
      </c>
      <c r="E16" s="18">
        <v>-800.0</v>
      </c>
      <c r="F16" s="18">
        <v>-800.0</v>
      </c>
      <c r="G16" s="18">
        <v>-800.0</v>
      </c>
      <c r="H16" s="14">
        <f t="shared" si="2"/>
        <v>-4800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ht="11.25" customHeight="1">
      <c r="A17" s="13" t="s">
        <v>20</v>
      </c>
      <c r="B17" s="14">
        <f t="shared" ref="B17:G17" si="11">-0.1*B7</f>
        <v>-840</v>
      </c>
      <c r="C17" s="14">
        <f t="shared" si="11"/>
        <v>-900</v>
      </c>
      <c r="D17" s="14">
        <f t="shared" si="11"/>
        <v>-960</v>
      </c>
      <c r="E17" s="14">
        <f t="shared" si="11"/>
        <v>-1020</v>
      </c>
      <c r="F17" s="14">
        <f t="shared" si="11"/>
        <v>-1080</v>
      </c>
      <c r="G17" s="14">
        <f t="shared" si="11"/>
        <v>-1140</v>
      </c>
      <c r="H17" s="14">
        <f t="shared" si="2"/>
        <v>-5940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ht="11.25" customHeight="1">
      <c r="A18" s="19" t="s">
        <v>21</v>
      </c>
      <c r="B18" s="20"/>
      <c r="C18" s="20"/>
      <c r="D18" s="20"/>
      <c r="E18" s="20"/>
      <c r="F18" s="20"/>
      <c r="G18" s="20">
        <f>-6*500</f>
        <v>-3000</v>
      </c>
      <c r="H18" s="14">
        <f t="shared" si="2"/>
        <v>-3000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ht="11.25" customHeight="1">
      <c r="A19" s="19" t="s">
        <v>22</v>
      </c>
      <c r="B19" s="20"/>
      <c r="C19" s="20">
        <f>-0.1*15000</f>
        <v>-1500</v>
      </c>
      <c r="D19" s="20"/>
      <c r="E19" s="20"/>
      <c r="F19" s="20"/>
      <c r="G19" s="20"/>
      <c r="H19" s="14">
        <f t="shared" si="2"/>
        <v>-1500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ht="11.25" customHeight="1">
      <c r="A20" s="21"/>
      <c r="B20" s="22"/>
      <c r="C20" s="20"/>
      <c r="D20" s="20"/>
      <c r="E20" s="20"/>
      <c r="F20" s="20"/>
      <c r="G20" s="23"/>
      <c r="H20" s="14">
        <f t="shared" si="2"/>
        <v>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ht="11.25" customHeight="1">
      <c r="A21" s="24" t="s">
        <v>23</v>
      </c>
      <c r="B21" s="25">
        <f t="shared" ref="B21:H21" si="12">sum(B7:B20)</f>
        <v>2510</v>
      </c>
      <c r="C21" s="25">
        <f t="shared" si="12"/>
        <v>3525</v>
      </c>
      <c r="D21" s="25">
        <f t="shared" si="12"/>
        <v>9090</v>
      </c>
      <c r="E21" s="25">
        <f t="shared" si="12"/>
        <v>7830</v>
      </c>
      <c r="F21" s="25">
        <f t="shared" si="12"/>
        <v>8070</v>
      </c>
      <c r="G21" s="25">
        <f t="shared" si="12"/>
        <v>5610</v>
      </c>
      <c r="H21" s="25">
        <f t="shared" si="12"/>
        <v>36635</v>
      </c>
      <c r="I21" s="26" t="s">
        <v>24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ht="11.25" customHeight="1">
      <c r="A22" s="9" t="s">
        <v>25</v>
      </c>
      <c r="B22" s="27">
        <f>B21</f>
        <v>2510</v>
      </c>
      <c r="C22" s="27">
        <f t="shared" ref="C22:G22" si="13">B22+C21</f>
        <v>6035</v>
      </c>
      <c r="D22" s="27">
        <f t="shared" si="13"/>
        <v>15125</v>
      </c>
      <c r="E22" s="27">
        <f t="shared" si="13"/>
        <v>22955</v>
      </c>
      <c r="F22" s="27">
        <f t="shared" si="13"/>
        <v>31025</v>
      </c>
      <c r="G22" s="27">
        <f t="shared" si="13"/>
        <v>36635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ht="11.25" customHeight="1">
      <c r="A23" s="4"/>
      <c r="B23" s="28"/>
      <c r="C23" s="28"/>
      <c r="D23" s="28"/>
      <c r="E23" s="28"/>
      <c r="F23" s="28"/>
      <c r="G23" s="28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ht="11.25" customHeight="1">
      <c r="A24" s="29"/>
      <c r="B24" s="28"/>
      <c r="C24" s="28"/>
      <c r="D24" s="28"/>
      <c r="E24" s="28"/>
      <c r="F24" s="28"/>
      <c r="G24" s="28"/>
      <c r="H24" s="30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ht="11.25" customHeight="1">
      <c r="A25" s="4"/>
      <c r="B25" s="4"/>
      <c r="C25" s="4"/>
      <c r="D25" s="4"/>
      <c r="E25" s="4"/>
      <c r="F25" s="9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ht="11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ht="11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ht="11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ht="11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ht="11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ht="11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ht="11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ht="11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ht="11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ht="11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ht="11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ht="11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ht="11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ht="11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ht="11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ht="11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ht="11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ht="11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ht="11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ht="11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ht="11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ht="11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ht="11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ht="11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ht="11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ht="11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ht="11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ht="11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ht="11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ht="11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ht="11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ht="11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ht="11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ht="11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ht="11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ht="11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ht="11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ht="11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ht="11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ht="11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ht="11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ht="11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ht="11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ht="11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ht="11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ht="11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ht="11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ht="11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ht="11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ht="11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ht="11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ht="11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ht="11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ht="11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ht="11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ht="11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ht="11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ht="11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ht="11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ht="11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ht="11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ht="11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ht="11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ht="11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ht="11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ht="11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ht="11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ht="11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ht="11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ht="11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ht="11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ht="11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ht="11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ht="11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ht="11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ht="11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ht="11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ht="11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ht="11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ht="11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ht="11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ht="11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ht="11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ht="11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ht="11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ht="11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ht="11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ht="11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ht="11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ht="11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ht="11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ht="11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ht="11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ht="11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ht="11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ht="11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ht="11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ht="11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ht="11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ht="11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ht="11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ht="11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ht="11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ht="11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ht="11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ht="11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ht="11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ht="11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ht="11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ht="11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ht="11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ht="11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ht="11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ht="11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ht="11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ht="11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ht="11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ht="11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ht="11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ht="11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ht="11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ht="11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ht="11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ht="11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ht="11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ht="11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ht="11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ht="11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ht="11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ht="11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ht="11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ht="11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ht="11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ht="11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ht="11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ht="11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ht="11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ht="11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 ht="11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 ht="11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 ht="11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 ht="11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 ht="11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 ht="11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 ht="11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 ht="11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 ht="11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 ht="11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 ht="11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 ht="11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ht="11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 ht="11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ht="11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ht="11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ht="11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ht="11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ht="11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ht="11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ht="11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ht="11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ht="11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ht="11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ht="11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ht="11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ht="11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ht="11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ht="11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ht="11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ht="11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ht="11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ht="11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ht="11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ht="11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ht="11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ht="11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ht="11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ht="11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ht="11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ht="11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ht="11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ht="11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ht="11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ht="11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ht="11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ht="11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ht="11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ht="11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ht="11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ht="11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ht="11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ht="11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ht="11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ht="11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ht="11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ht="11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ht="11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ht="11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ht="11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ht="11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ht="11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ht="11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ht="11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ht="11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ht="11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ht="11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ht="11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ht="11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ht="11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ht="11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ht="11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ht="11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ht="11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ht="11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ht="11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ht="11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ht="11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ht="11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ht="11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ht="11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ht="11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ht="11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ht="11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ht="11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ht="11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ht="11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ht="11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ht="11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ht="11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ht="11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ht="11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ht="11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ht="11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ht="11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ht="11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ht="11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ht="11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ht="11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ht="11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ht="11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ht="11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ht="11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ht="11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ht="11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ht="11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ht="11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ht="11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ht="11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ht="11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ht="11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 ht="11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 ht="11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 ht="11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 ht="11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 ht="11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 ht="11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 ht="11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 ht="11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 ht="11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 ht="11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 ht="11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 ht="11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 ht="11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 ht="11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 ht="11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 ht="11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 ht="11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 ht="11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 ht="11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 ht="11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 ht="11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 ht="11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 ht="11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 ht="11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 ht="11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 ht="11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 ht="11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 ht="11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 ht="11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 ht="11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 ht="11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 ht="11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ht="11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ht="11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ht="11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ht="11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ht="11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ht="11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ht="11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ht="11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ht="11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ht="11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ht="11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ht="11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ht="11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ht="11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ht="11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ht="11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ht="11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ht="11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ht="11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ht="11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ht="11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ht="11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ht="11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ht="11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ht="11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ht="11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ht="11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ht="11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ht="11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ht="11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ht="11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ht="11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ht="11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ht="11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ht="11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ht="11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ht="11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ht="11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ht="11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ht="11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ht="11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ht="11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ht="11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ht="11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ht="11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ht="11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ht="11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ht="11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ht="11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ht="11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ht="11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ht="11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ht="11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ht="11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ht="11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ht="11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ht="11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ht="11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ht="11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ht="11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ht="11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ht="11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ht="11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ht="11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ht="11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ht="11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ht="11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ht="11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ht="11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ht="11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ht="11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ht="11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ht="11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ht="11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ht="11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ht="11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ht="11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ht="11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ht="11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ht="11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ht="11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ht="11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ht="11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ht="11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ht="11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ht="11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ht="11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ht="11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ht="11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ht="11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ht="11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ht="11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ht="11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ht="11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ht="11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ht="11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ht="11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ht="11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ht="11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ht="11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ht="11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ht="11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ht="11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ht="11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ht="11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ht="11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ht="11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ht="11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ht="11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ht="11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ht="11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ht="11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ht="11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ht="11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ht="11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ht="11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ht="11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ht="11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ht="11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ht="11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ht="11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ht="11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ht="11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ht="11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ht="11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ht="11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ht="11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ht="11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ht="11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ht="11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ht="11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ht="11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ht="11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ht="11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ht="11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ht="11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ht="11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ht="11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ht="11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ht="11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ht="11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ht="11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ht="11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ht="11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ht="11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ht="11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ht="11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ht="11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ht="11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ht="11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ht="11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ht="11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ht="11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ht="11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ht="11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ht="11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ht="11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ht="11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ht="11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ht="11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ht="11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ht="11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ht="11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ht="11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ht="11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ht="11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ht="11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ht="11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ht="11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ht="11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ht="11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ht="11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ht="11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ht="11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ht="11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ht="11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ht="11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ht="11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ht="11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ht="11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ht="11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ht="11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ht="11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ht="11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ht="11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ht="11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ht="11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ht="11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ht="11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ht="11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ht="11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ht="11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ht="11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ht="11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ht="11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ht="11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ht="11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ht="11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ht="11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ht="11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ht="11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ht="11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ht="11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ht="11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ht="11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ht="11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ht="11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ht="11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ht="11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ht="11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ht="11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ht="11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ht="11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ht="11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ht="11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ht="11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ht="11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ht="11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ht="11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ht="11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ht="11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ht="11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ht="11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ht="11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ht="11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ht="11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ht="11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ht="11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ht="11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ht="11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ht="11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ht="11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ht="11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ht="11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ht="11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ht="11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ht="11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ht="11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ht="11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ht="11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ht="11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ht="11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ht="11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ht="11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ht="11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ht="11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ht="11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ht="11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ht="11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ht="11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ht="11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ht="11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ht="11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ht="11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ht="11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ht="11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ht="11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ht="11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ht="11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ht="11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ht="11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ht="11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ht="11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ht="11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ht="11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ht="11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ht="11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ht="11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ht="11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ht="11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ht="11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ht="11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ht="11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ht="11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ht="11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ht="11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ht="11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ht="11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ht="11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ht="11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ht="11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ht="11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ht="11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ht="11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ht="11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ht="11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ht="11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ht="11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ht="11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ht="11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ht="11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ht="11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ht="11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ht="11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ht="11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ht="11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ht="11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ht="11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ht="11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ht="11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ht="11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ht="11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ht="11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ht="11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ht="11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ht="11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ht="11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ht="11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ht="11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ht="11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ht="11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ht="11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ht="11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ht="11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ht="11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ht="11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ht="11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ht="11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ht="11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ht="11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ht="11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ht="11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ht="11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ht="11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ht="11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ht="11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ht="11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ht="11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ht="11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ht="11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ht="11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ht="11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ht="11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ht="11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ht="11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ht="11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ht="11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ht="11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ht="11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ht="11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ht="11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ht="11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ht="11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ht="11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ht="11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ht="11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ht="11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ht="11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ht="11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ht="11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ht="11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ht="11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ht="11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ht="11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ht="11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ht="11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ht="11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ht="11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ht="11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ht="11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ht="11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ht="11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ht="11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ht="11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ht="11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ht="11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ht="11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ht="11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ht="11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ht="11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ht="11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ht="11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ht="11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ht="11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ht="11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ht="11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ht="11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ht="11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ht="11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ht="11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ht="11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ht="11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ht="11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ht="11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ht="11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ht="11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ht="11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ht="11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ht="11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ht="11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ht="11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ht="11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ht="11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ht="11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ht="11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ht="11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ht="11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ht="11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ht="11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ht="11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ht="11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ht="11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ht="11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ht="11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ht="11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ht="11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ht="11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ht="11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ht="11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ht="11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ht="11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ht="11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ht="11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ht="11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ht="11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ht="11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ht="11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ht="11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ht="11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ht="11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ht="11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ht="11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ht="11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ht="11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ht="11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ht="11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ht="11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ht="11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ht="11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ht="11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ht="11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ht="11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ht="11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ht="11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ht="11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ht="11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ht="11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ht="11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ht="11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ht="11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ht="11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ht="11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ht="11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ht="11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ht="11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ht="11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ht="11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ht="11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ht="11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ht="11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ht="11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ht="11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ht="11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ht="11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ht="11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ht="11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ht="11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ht="11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ht="11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ht="11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ht="11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ht="11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ht="11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ht="11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ht="11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ht="11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ht="11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ht="11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ht="11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ht="11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ht="11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ht="11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ht="11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ht="11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ht="11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ht="11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ht="11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ht="11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ht="11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ht="11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ht="11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ht="11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ht="11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ht="11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ht="11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ht="11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ht="11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ht="11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ht="11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ht="11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ht="11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ht="11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ht="11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ht="11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ht="11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ht="11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ht="11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ht="11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ht="11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ht="11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ht="11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ht="11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ht="11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ht="11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ht="11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ht="11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ht="11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ht="11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ht="11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ht="11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ht="11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ht="11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ht="11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ht="11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ht="11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ht="11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ht="11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ht="11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ht="11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ht="11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ht="11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ht="11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ht="11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ht="11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ht="11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ht="11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ht="11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ht="11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ht="11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ht="11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ht="11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ht="11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ht="11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ht="11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ht="11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ht="11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ht="11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ht="11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ht="11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ht="11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ht="11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ht="11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ht="11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ht="11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 ht="11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 ht="11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 ht="11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 ht="11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 ht="11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 ht="11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 ht="11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 ht="11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 ht="11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 ht="11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 ht="11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 ht="11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 ht="11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 ht="11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 ht="11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 ht="11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ht="11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ht="11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ht="11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ht="11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ht="11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ht="11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ht="11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ht="11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ht="11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ht="11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ht="11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ht="11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ht="11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ht="11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ht="11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ht="11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 ht="11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 ht="11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 ht="11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 ht="11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 ht="11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 ht="11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 ht="11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 ht="11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 ht="11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 ht="11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 ht="11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 ht="11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 ht="11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 ht="11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 ht="11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 ht="11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ht="11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ht="11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ht="11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ht="11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ht="11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ht="11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ht="11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ht="11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ht="11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ht="11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ht="11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ht="11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ht="11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ht="11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ht="11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ht="11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 ht="11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 ht="11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 ht="11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 ht="11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 ht="11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 ht="11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 ht="11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 ht="11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 ht="11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 ht="11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 ht="11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 ht="11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 ht="11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 ht="11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 ht="11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 ht="11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ht="11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ht="11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ht="11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ht="11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ht="11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ht="11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ht="11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ht="11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ht="11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ht="11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ht="11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ht="11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ht="11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ht="11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ht="11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ht="11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ht="11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ht="11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ht="11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ht="11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ht="11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ht="11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ht="11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ht="11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ht="11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ht="11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ht="11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ht="11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ht="11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ht="11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ht="11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ht="11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ht="11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ht="11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ht="11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ht="11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ht="11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ht="11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ht="11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ht="11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ht="11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ht="11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ht="11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ht="11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ht="11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ht="11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ht="11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ht="11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ht="11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ht="11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ht="11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ht="11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ht="11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ht="11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ht="11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ht="11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ht="11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</sheetData>
  <mergeCells count="4">
    <mergeCell ref="A1:H1"/>
    <mergeCell ref="A3:A4"/>
    <mergeCell ref="B3:G3"/>
    <mergeCell ref="H3:H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55A11"/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2">
      <c r="B2" s="31" t="s">
        <v>26</v>
      </c>
      <c r="C2" s="32" t="s">
        <v>27</v>
      </c>
      <c r="D2" s="32" t="s">
        <v>28</v>
      </c>
      <c r="E2" s="33" t="s">
        <v>29</v>
      </c>
      <c r="F2" s="33" t="s">
        <v>30</v>
      </c>
    </row>
    <row r="3">
      <c r="B3" s="34"/>
      <c r="C3" s="35"/>
      <c r="D3" s="36">
        <v>0.6</v>
      </c>
      <c r="E3" s="36"/>
      <c r="F3" s="37">
        <v>0.4</v>
      </c>
      <c r="G3" s="38" t="s">
        <v>31</v>
      </c>
    </row>
    <row r="4">
      <c r="B4" s="39"/>
      <c r="C4" s="40"/>
      <c r="D4" s="41"/>
      <c r="E4" s="41"/>
      <c r="F4" s="42"/>
      <c r="G4" s="43"/>
    </row>
    <row r="5">
      <c r="B5" s="44"/>
      <c r="C5" s="45"/>
      <c r="D5" s="46">
        <f>0.6*100</f>
        <v>60</v>
      </c>
      <c r="E5" s="46"/>
      <c r="F5" s="47">
        <f>100*0.4</f>
        <v>40</v>
      </c>
      <c r="G5" s="7"/>
    </row>
    <row r="6">
      <c r="B6" s="48"/>
      <c r="C6" s="49"/>
      <c r="D6" s="50">
        <v>0.5</v>
      </c>
      <c r="E6" s="50">
        <v>0.5</v>
      </c>
      <c r="F6" s="50"/>
      <c r="G6" s="51" t="s">
        <v>32</v>
      </c>
    </row>
    <row r="7">
      <c r="B7" s="52"/>
      <c r="C7" s="53"/>
      <c r="D7" s="54"/>
      <c r="E7" s="55"/>
      <c r="F7" s="55"/>
      <c r="G7" s="43"/>
      <c r="H7" s="56" t="s">
        <v>33</v>
      </c>
    </row>
    <row r="8">
      <c r="B8" s="57"/>
      <c r="C8" s="58"/>
      <c r="D8" s="59">
        <f t="shared" ref="D8:E8" si="1">0.5*0.4*100</f>
        <v>20</v>
      </c>
      <c r="E8" s="59">
        <f t="shared" si="1"/>
        <v>20</v>
      </c>
      <c r="F8" s="59"/>
      <c r="G8" s="7"/>
    </row>
    <row r="9">
      <c r="B9" s="60"/>
      <c r="C9" s="60"/>
      <c r="D9" s="60"/>
      <c r="E9" s="60"/>
      <c r="F9" s="60"/>
    </row>
    <row r="10">
      <c r="B10" s="60"/>
      <c r="C10" s="60"/>
      <c r="D10" s="60"/>
      <c r="E10" s="60"/>
      <c r="F10" s="60"/>
    </row>
    <row r="11">
      <c r="B11" s="61" t="s">
        <v>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G3:G5"/>
    <mergeCell ref="G6:G8"/>
    <mergeCell ref="B11:F1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5E0B3"/>
    <pageSetUpPr/>
  </sheetPr>
  <sheetViews>
    <sheetView workbookViewId="0"/>
  </sheetViews>
  <sheetFormatPr customHeight="1" defaultColWidth="12.63" defaultRowHeight="15.0"/>
  <cols>
    <col customWidth="1" min="1" max="1" width="38.13"/>
    <col customWidth="1" min="2" max="8" width="9.75"/>
    <col customWidth="1" min="9" max="9" width="12.0"/>
    <col customWidth="1" min="10" max="10" width="10.0"/>
    <col customWidth="1" min="11" max="29" width="9.38"/>
  </cols>
  <sheetData>
    <row r="1" ht="11.25" customHeight="1">
      <c r="A1" s="1"/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9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ht="11.25" customHeight="1">
      <c r="A3" s="5" t="s">
        <v>0</v>
      </c>
      <c r="B3" s="6" t="s">
        <v>35</v>
      </c>
      <c r="C3" s="2"/>
      <c r="D3" s="2"/>
      <c r="E3" s="2"/>
      <c r="F3" s="2"/>
      <c r="G3" s="3"/>
      <c r="H3" s="5" t="s">
        <v>36</v>
      </c>
      <c r="I3" s="62" t="s">
        <v>37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ht="11.25" customHeight="1">
      <c r="A4" s="7"/>
      <c r="B4" s="8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  <c r="H4" s="7"/>
      <c r="I4" s="63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ht="11.25" customHeight="1">
      <c r="A5" s="64" t="s">
        <v>38</v>
      </c>
      <c r="B5" s="65"/>
      <c r="C5" s="65"/>
      <c r="D5" s="65"/>
      <c r="E5" s="65"/>
      <c r="F5" s="65"/>
      <c r="G5" s="65"/>
      <c r="H5" s="66"/>
      <c r="I5" s="67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ht="11.25" customHeight="1">
      <c r="A6" s="68" t="s">
        <v>39</v>
      </c>
      <c r="B6" s="69">
        <v>33600.0</v>
      </c>
      <c r="C6" s="65"/>
      <c r="D6" s="65"/>
      <c r="E6" s="65"/>
      <c r="F6" s="65"/>
      <c r="G6" s="65"/>
      <c r="H6" s="66">
        <f t="shared" ref="H6:H7" si="1">sum(B6:G6)</f>
        <v>33600</v>
      </c>
      <c r="I6" s="67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ht="11.25" customHeight="1">
      <c r="A7" s="70" t="s">
        <v>40</v>
      </c>
      <c r="B7" s="69">
        <f>0.4*10000</f>
        <v>4000</v>
      </c>
      <c r="C7" s="65"/>
      <c r="D7" s="65"/>
      <c r="E7" s="65"/>
      <c r="F7" s="65"/>
      <c r="G7" s="65"/>
      <c r="H7" s="66">
        <f t="shared" si="1"/>
        <v>4000</v>
      </c>
      <c r="I7" s="67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ht="11.25" customHeight="1">
      <c r="A8" s="70" t="s">
        <v>41</v>
      </c>
      <c r="B8" s="71"/>
      <c r="C8" s="69">
        <f>0.4*12000</f>
        <v>4800</v>
      </c>
      <c r="D8" s="69"/>
      <c r="E8" s="65"/>
      <c r="F8" s="65"/>
      <c r="G8" s="65"/>
      <c r="H8" s="66">
        <f>sum(C8:G8)</f>
        <v>4800</v>
      </c>
      <c r="I8" s="67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ht="11.25" customHeight="1">
      <c r="A9" s="72" t="s">
        <v>42</v>
      </c>
      <c r="B9" s="73">
        <f>0.6*14000</f>
        <v>8400</v>
      </c>
      <c r="C9" s="73"/>
      <c r="D9" s="73">
        <f>0.4*14000</f>
        <v>5600</v>
      </c>
      <c r="E9" s="65"/>
      <c r="F9" s="65"/>
      <c r="G9" s="65"/>
      <c r="H9" s="66">
        <f t="shared" ref="H9:H18" si="2">sum(B9:G9)</f>
        <v>14000</v>
      </c>
      <c r="I9" s="7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ht="11.25" customHeight="1">
      <c r="A10" s="72" t="s">
        <v>43</v>
      </c>
      <c r="B10" s="73"/>
      <c r="C10" s="73">
        <f>0.6*15000</f>
        <v>9000</v>
      </c>
      <c r="D10" s="73"/>
      <c r="E10" s="73">
        <f>0.4*15000</f>
        <v>6000</v>
      </c>
      <c r="F10" s="69"/>
      <c r="G10" s="69"/>
      <c r="H10" s="66">
        <f t="shared" si="2"/>
        <v>15000</v>
      </c>
      <c r="I10" s="7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ht="11.25" customHeight="1">
      <c r="A11" s="72" t="s">
        <v>44</v>
      </c>
      <c r="B11" s="73"/>
      <c r="C11" s="73"/>
      <c r="D11" s="73">
        <f>0.6*16000</f>
        <v>9600</v>
      </c>
      <c r="E11" s="73"/>
      <c r="F11" s="73">
        <f>0.4*16000</f>
        <v>6400</v>
      </c>
      <c r="G11" s="73"/>
      <c r="H11" s="66">
        <f t="shared" si="2"/>
        <v>16000</v>
      </c>
      <c r="I11" s="7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ht="11.25" customHeight="1">
      <c r="A12" s="72" t="s">
        <v>45</v>
      </c>
      <c r="B12" s="73"/>
      <c r="C12" s="73"/>
      <c r="D12" s="73"/>
      <c r="E12" s="75">
        <f>0.6*17000</f>
        <v>10200</v>
      </c>
      <c r="F12" s="75"/>
      <c r="G12" s="75">
        <f>0.4*17000</f>
        <v>6800</v>
      </c>
      <c r="H12" s="66">
        <f t="shared" si="2"/>
        <v>17000</v>
      </c>
      <c r="I12" s="7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ht="11.25" customHeight="1">
      <c r="A13" s="76" t="s">
        <v>46</v>
      </c>
      <c r="B13" s="77"/>
      <c r="C13" s="77"/>
      <c r="D13" s="77"/>
      <c r="E13" s="77"/>
      <c r="F13" s="73">
        <f>0.6*18000</f>
        <v>10800</v>
      </c>
      <c r="G13" s="73"/>
      <c r="H13" s="66">
        <f t="shared" si="2"/>
        <v>10800</v>
      </c>
      <c r="I13" s="78">
        <f>0.4*18000</f>
        <v>7200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ht="11.25" customHeight="1">
      <c r="A14" s="76" t="s">
        <v>47</v>
      </c>
      <c r="B14" s="77"/>
      <c r="C14" s="77"/>
      <c r="D14" s="77"/>
      <c r="E14" s="77"/>
      <c r="F14" s="77"/>
      <c r="G14" s="73">
        <f>0.6*19000</f>
        <v>11400</v>
      </c>
      <c r="H14" s="66">
        <f t="shared" si="2"/>
        <v>11400</v>
      </c>
      <c r="I14" s="78">
        <f>0.4*19000</f>
        <v>7600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ht="11.25" customHeight="1">
      <c r="A15" s="76" t="s">
        <v>48</v>
      </c>
      <c r="B15" s="77"/>
      <c r="C15" s="79">
        <v>15000.0</v>
      </c>
      <c r="D15" s="77"/>
      <c r="E15" s="79"/>
      <c r="F15" s="77"/>
      <c r="G15" s="77"/>
      <c r="H15" s="66">
        <f t="shared" si="2"/>
        <v>15000</v>
      </c>
      <c r="I15" s="78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ht="11.25" customHeight="1">
      <c r="A16" s="76" t="s">
        <v>49</v>
      </c>
      <c r="B16" s="77"/>
      <c r="C16" s="77"/>
      <c r="D16" s="79">
        <v>600.0</v>
      </c>
      <c r="E16" s="77">
        <f t="shared" ref="E16:G16" si="3">1800</f>
        <v>1800</v>
      </c>
      <c r="F16" s="77">
        <f t="shared" si="3"/>
        <v>1800</v>
      </c>
      <c r="G16" s="77">
        <f t="shared" si="3"/>
        <v>1800</v>
      </c>
      <c r="H16" s="66">
        <f t="shared" si="2"/>
        <v>6000</v>
      </c>
      <c r="I16" s="80">
        <v>1800.0</v>
      </c>
      <c r="J16" s="9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ht="11.25" customHeight="1">
      <c r="A17" s="76" t="s">
        <v>50</v>
      </c>
      <c r="B17" s="77"/>
      <c r="C17" s="77"/>
      <c r="D17" s="81">
        <f>(15000-3000+sum('P.Económico'!B9:D9))*1.2*0.5</f>
        <v>6750</v>
      </c>
      <c r="E17" s="77"/>
      <c r="F17" s="77"/>
      <c r="G17" s="77"/>
      <c r="H17" s="66">
        <f t="shared" si="2"/>
        <v>6750</v>
      </c>
      <c r="I17" s="78"/>
      <c r="J17" s="9">
        <v>10750.0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ht="11.25" customHeight="1">
      <c r="A18" s="82" t="s">
        <v>51</v>
      </c>
      <c r="B18" s="83">
        <f>sum(B5:B14)</f>
        <v>46000</v>
      </c>
      <c r="C18" s="83">
        <f t="shared" ref="C18:G18" si="4">sum(C5:C17)</f>
        <v>28800</v>
      </c>
      <c r="D18" s="83">
        <f t="shared" si="4"/>
        <v>22550</v>
      </c>
      <c r="E18" s="83">
        <f t="shared" si="4"/>
        <v>18000</v>
      </c>
      <c r="F18" s="83">
        <f t="shared" si="4"/>
        <v>19000</v>
      </c>
      <c r="G18" s="83">
        <f t="shared" si="4"/>
        <v>20000</v>
      </c>
      <c r="H18" s="83">
        <f t="shared" si="2"/>
        <v>154350</v>
      </c>
      <c r="I18" s="84"/>
      <c r="J18" s="9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ht="11.25" customHeight="1">
      <c r="A19" s="64" t="s">
        <v>52</v>
      </c>
      <c r="B19" s="65"/>
      <c r="C19" s="65"/>
      <c r="D19" s="65"/>
      <c r="E19" s="65"/>
      <c r="F19" s="65"/>
      <c r="G19" s="65"/>
      <c r="H19" s="65">
        <f>sum(B19:D19)</f>
        <v>0</v>
      </c>
      <c r="I19" s="85"/>
      <c r="J19" s="86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ht="11.25" customHeight="1">
      <c r="A20" s="72" t="s">
        <v>53</v>
      </c>
      <c r="B20" s="75">
        <f>-0.4*0.5*12000</f>
        <v>-2400</v>
      </c>
      <c r="C20" s="73"/>
      <c r="D20" s="73"/>
      <c r="E20" s="65"/>
      <c r="F20" s="65"/>
      <c r="G20" s="65"/>
      <c r="H20" s="65">
        <f t="shared" ref="H20:H38" si="6">sum(B20:G20)</f>
        <v>-2400</v>
      </c>
      <c r="I20" s="87"/>
      <c r="J20" s="88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ht="11.25" customHeight="1">
      <c r="A21" s="72" t="s">
        <v>54</v>
      </c>
      <c r="B21" s="75">
        <f t="shared" ref="B21:C21" si="5">-0.4*0.5*14000</f>
        <v>-2800</v>
      </c>
      <c r="C21" s="75">
        <f t="shared" si="5"/>
        <v>-2800</v>
      </c>
      <c r="D21" s="73"/>
      <c r="E21" s="65"/>
      <c r="F21" s="65"/>
      <c r="G21" s="65"/>
      <c r="H21" s="65">
        <f t="shared" si="6"/>
        <v>-5600</v>
      </c>
      <c r="I21" s="89"/>
      <c r="J21" s="90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ht="11.25" customHeight="1">
      <c r="A22" s="72" t="s">
        <v>55</v>
      </c>
      <c r="B22" s="73"/>
      <c r="C22" s="75">
        <f t="shared" ref="C22:D22" si="7">-0.4*0.5*15000</f>
        <v>-3000</v>
      </c>
      <c r="D22" s="75">
        <f t="shared" si="7"/>
        <v>-3000</v>
      </c>
      <c r="E22" s="65"/>
      <c r="F22" s="65"/>
      <c r="G22" s="65"/>
      <c r="H22" s="65">
        <f t="shared" si="6"/>
        <v>-6000</v>
      </c>
      <c r="I22" s="91"/>
      <c r="J22" s="86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ht="11.25" customHeight="1">
      <c r="A23" s="72" t="s">
        <v>56</v>
      </c>
      <c r="B23" s="75"/>
      <c r="C23" s="73"/>
      <c r="D23" s="75">
        <f t="shared" ref="D23:E23" si="8">-0.4*0.5*16000</f>
        <v>-3200</v>
      </c>
      <c r="E23" s="75">
        <f t="shared" si="8"/>
        <v>-3200</v>
      </c>
      <c r="F23" s="69"/>
      <c r="G23" s="69"/>
      <c r="H23" s="65">
        <f t="shared" si="6"/>
        <v>-6400</v>
      </c>
      <c r="I23" s="74"/>
      <c r="J23" s="9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ht="11.25" customHeight="1">
      <c r="A24" s="72" t="s">
        <v>57</v>
      </c>
      <c r="B24" s="75"/>
      <c r="C24" s="75"/>
      <c r="D24" s="73"/>
      <c r="E24" s="75">
        <f t="shared" ref="E24:F24" si="9">-0.4*0.5*17000</f>
        <v>-3400</v>
      </c>
      <c r="F24" s="75">
        <f t="shared" si="9"/>
        <v>-3400</v>
      </c>
      <c r="G24" s="69"/>
      <c r="H24" s="65">
        <f t="shared" si="6"/>
        <v>-6800</v>
      </c>
      <c r="I24" s="74"/>
      <c r="J24" s="88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ht="11.25" customHeight="1">
      <c r="A25" s="72" t="s">
        <v>58</v>
      </c>
      <c r="B25" s="75"/>
      <c r="C25" s="75"/>
      <c r="D25" s="75"/>
      <c r="E25" s="73"/>
      <c r="F25" s="75">
        <f t="shared" ref="F25:G25" si="10">-0.4*0.5*18000</f>
        <v>-3600</v>
      </c>
      <c r="G25" s="75">
        <f t="shared" si="10"/>
        <v>-3600</v>
      </c>
      <c r="H25" s="65">
        <f t="shared" si="6"/>
        <v>-7200</v>
      </c>
      <c r="I25" s="74"/>
      <c r="J25" s="9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ht="11.25" customHeight="1">
      <c r="A26" s="72" t="s">
        <v>59</v>
      </c>
      <c r="B26" s="75"/>
      <c r="C26" s="75"/>
      <c r="D26" s="75"/>
      <c r="E26" s="69"/>
      <c r="F26" s="75"/>
      <c r="G26" s="75">
        <f>-0.4*0.5*19000</f>
        <v>-3800</v>
      </c>
      <c r="H26" s="65">
        <f t="shared" si="6"/>
        <v>-3800</v>
      </c>
      <c r="I26" s="75">
        <f>-0.4*0.5*19000</f>
        <v>-3800</v>
      </c>
      <c r="J26" s="9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ht="11.25" customHeight="1">
      <c r="A27" s="72" t="s">
        <v>60</v>
      </c>
      <c r="B27" s="75"/>
      <c r="C27" s="75"/>
      <c r="D27" s="75"/>
      <c r="E27" s="69"/>
      <c r="F27" s="69"/>
      <c r="G27" s="73"/>
      <c r="H27" s="65">
        <f t="shared" si="6"/>
        <v>0</v>
      </c>
      <c r="I27" s="75">
        <f>-0.4*20000</f>
        <v>-8000</v>
      </c>
      <c r="J27" s="9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ht="11.25" customHeight="1">
      <c r="A28" s="72" t="s">
        <v>61</v>
      </c>
      <c r="B28" s="73"/>
      <c r="C28" s="73"/>
      <c r="D28" s="73">
        <f t="shared" ref="D28:F28" si="11">-2100/3</f>
        <v>-700</v>
      </c>
      <c r="E28" s="73">
        <f t="shared" si="11"/>
        <v>-700</v>
      </c>
      <c r="F28" s="73">
        <f t="shared" si="11"/>
        <v>-700</v>
      </c>
      <c r="G28" s="75"/>
      <c r="H28" s="65">
        <f t="shared" si="6"/>
        <v>-2100</v>
      </c>
      <c r="I28" s="75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ht="11.25" customHeight="1">
      <c r="A29" s="72" t="s">
        <v>62</v>
      </c>
      <c r="B29" s="73"/>
      <c r="C29" s="75"/>
      <c r="D29" s="75">
        <f t="shared" ref="D29:G29" si="12">-15000*1.1/4</f>
        <v>-4125</v>
      </c>
      <c r="E29" s="75">
        <f t="shared" si="12"/>
        <v>-4125</v>
      </c>
      <c r="F29" s="75">
        <f t="shared" si="12"/>
        <v>-4125</v>
      </c>
      <c r="G29" s="75">
        <f t="shared" si="12"/>
        <v>-4125</v>
      </c>
      <c r="H29" s="65">
        <f t="shared" si="6"/>
        <v>-16500</v>
      </c>
      <c r="I29" s="75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ht="11.25" customHeight="1">
      <c r="A30" s="72" t="s">
        <v>63</v>
      </c>
      <c r="B30" s="73"/>
      <c r="C30" s="75"/>
      <c r="D30" s="75"/>
      <c r="E30" s="75"/>
      <c r="F30" s="75"/>
      <c r="G30" s="92"/>
      <c r="H30" s="65">
        <f t="shared" si="6"/>
        <v>0</v>
      </c>
      <c r="I30" s="75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ht="11.25" customHeight="1">
      <c r="A31" s="72" t="s">
        <v>64</v>
      </c>
      <c r="B31" s="75"/>
      <c r="C31" s="75">
        <f t="shared" ref="C31:G31" si="13">-500</f>
        <v>-500</v>
      </c>
      <c r="D31" s="75">
        <f t="shared" si="13"/>
        <v>-500</v>
      </c>
      <c r="E31" s="75">
        <f t="shared" si="13"/>
        <v>-500</v>
      </c>
      <c r="F31" s="75">
        <f t="shared" si="13"/>
        <v>-500</v>
      </c>
      <c r="G31" s="75">
        <f t="shared" si="13"/>
        <v>-500</v>
      </c>
      <c r="H31" s="65">
        <f t="shared" si="6"/>
        <v>-2500</v>
      </c>
      <c r="I31" s="75">
        <v>-500.0</v>
      </c>
      <c r="J31" s="4"/>
      <c r="K31" s="9" t="s">
        <v>65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ht="11.25" customHeight="1">
      <c r="A32" s="72" t="s">
        <v>20</v>
      </c>
      <c r="B32" s="75">
        <v>-720.0</v>
      </c>
      <c r="C32" s="75">
        <f>'P.Económico'!B17</f>
        <v>-840</v>
      </c>
      <c r="D32" s="75">
        <f>'P.Económico'!C17</f>
        <v>-900</v>
      </c>
      <c r="E32" s="75">
        <f>'P.Económico'!D17</f>
        <v>-960</v>
      </c>
      <c r="F32" s="75">
        <f>'P.Económico'!E17</f>
        <v>-1020</v>
      </c>
      <c r="G32" s="75">
        <f>'P.Económico'!F17</f>
        <v>-1080</v>
      </c>
      <c r="H32" s="65">
        <f t="shared" si="6"/>
        <v>-5520</v>
      </c>
      <c r="I32" s="75">
        <f>'P.Económico'!G17</f>
        <v>-1140</v>
      </c>
      <c r="J32" s="4"/>
      <c r="K32" s="9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ht="11.25" customHeight="1">
      <c r="A33" s="72" t="s">
        <v>66</v>
      </c>
      <c r="B33" s="75">
        <f t="shared" ref="B33:G33" si="14">-(500+200+600+400)</f>
        <v>-1700</v>
      </c>
      <c r="C33" s="75">
        <f t="shared" si="14"/>
        <v>-1700</v>
      </c>
      <c r="D33" s="75">
        <f t="shared" si="14"/>
        <v>-1700</v>
      </c>
      <c r="E33" s="75">
        <f t="shared" si="14"/>
        <v>-1700</v>
      </c>
      <c r="F33" s="75">
        <f t="shared" si="14"/>
        <v>-1700</v>
      </c>
      <c r="G33" s="75">
        <f t="shared" si="14"/>
        <v>-1700</v>
      </c>
      <c r="H33" s="65">
        <f t="shared" si="6"/>
        <v>-10200</v>
      </c>
      <c r="I33" s="93">
        <v>1700.0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ht="11.25" customHeight="1">
      <c r="A34" s="72" t="s">
        <v>19</v>
      </c>
      <c r="B34" s="73">
        <f t="shared" ref="B34:G34" si="15">-800</f>
        <v>-800</v>
      </c>
      <c r="C34" s="73">
        <f t="shared" si="15"/>
        <v>-800</v>
      </c>
      <c r="D34" s="73">
        <f t="shared" si="15"/>
        <v>-800</v>
      </c>
      <c r="E34" s="73">
        <f t="shared" si="15"/>
        <v>-800</v>
      </c>
      <c r="F34" s="73">
        <f t="shared" si="15"/>
        <v>-800</v>
      </c>
      <c r="G34" s="73">
        <f t="shared" si="15"/>
        <v>-800</v>
      </c>
      <c r="H34" s="65">
        <f t="shared" si="6"/>
        <v>-4800</v>
      </c>
      <c r="I34" s="94">
        <v>-800.0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ht="11.25" customHeight="1">
      <c r="A35" s="95" t="s">
        <v>67</v>
      </c>
      <c r="B35" s="73"/>
      <c r="C35" s="73"/>
      <c r="D35" s="73">
        <f>-7380/2</f>
        <v>-3690</v>
      </c>
      <c r="E35" s="75"/>
      <c r="F35" s="73"/>
      <c r="G35" s="73">
        <f>-7380/2</f>
        <v>-3690</v>
      </c>
      <c r="H35" s="65">
        <f t="shared" si="6"/>
        <v>-7380</v>
      </c>
      <c r="I35" s="96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ht="11.25" customHeight="1">
      <c r="A36" s="13" t="s">
        <v>68</v>
      </c>
      <c r="B36" s="97"/>
      <c r="C36" s="97"/>
      <c r="D36" s="97"/>
      <c r="E36" s="92"/>
      <c r="F36" s="97"/>
      <c r="G36" s="97"/>
      <c r="H36" s="98">
        <f t="shared" si="6"/>
        <v>0</v>
      </c>
      <c r="I36" s="1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ht="11.25" customHeight="1">
      <c r="A37" s="13" t="s">
        <v>69</v>
      </c>
      <c r="B37" s="73"/>
      <c r="C37" s="73">
        <f>-15000</f>
        <v>-15000</v>
      </c>
      <c r="D37" s="71"/>
      <c r="E37" s="73"/>
      <c r="F37" s="73"/>
      <c r="G37" s="73"/>
      <c r="H37" s="65">
        <f t="shared" si="6"/>
        <v>-15000</v>
      </c>
      <c r="I37" s="1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ht="11.25" customHeight="1">
      <c r="A38" s="99" t="s">
        <v>70</v>
      </c>
      <c r="B38" s="100">
        <f t="shared" ref="B38:G38" si="16">sum(B19:B37)</f>
        <v>-8420</v>
      </c>
      <c r="C38" s="100">
        <f t="shared" si="16"/>
        <v>-24640</v>
      </c>
      <c r="D38" s="100">
        <f t="shared" si="16"/>
        <v>-18615</v>
      </c>
      <c r="E38" s="100">
        <f t="shared" si="16"/>
        <v>-15385</v>
      </c>
      <c r="F38" s="100">
        <f t="shared" si="16"/>
        <v>-15845</v>
      </c>
      <c r="G38" s="100">
        <f t="shared" si="16"/>
        <v>-19295</v>
      </c>
      <c r="H38" s="65">
        <f t="shared" si="6"/>
        <v>-102200</v>
      </c>
      <c r="I38" s="101"/>
      <c r="J38" s="9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ht="11.25" customHeight="1">
      <c r="A39" s="102" t="s">
        <v>71</v>
      </c>
      <c r="B39" s="100">
        <f t="shared" ref="B39:G39" si="17">B18+B38</f>
        <v>37580</v>
      </c>
      <c r="C39" s="100">
        <f t="shared" si="17"/>
        <v>4160</v>
      </c>
      <c r="D39" s="100">
        <f t="shared" si="17"/>
        <v>3935</v>
      </c>
      <c r="E39" s="100">
        <f t="shared" si="17"/>
        <v>2615</v>
      </c>
      <c r="F39" s="100">
        <f t="shared" si="17"/>
        <v>3155</v>
      </c>
      <c r="G39" s="100">
        <f t="shared" si="17"/>
        <v>705</v>
      </c>
      <c r="H39" s="100"/>
      <c r="I39" s="103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ht="11.25" customHeight="1">
      <c r="A40" s="102" t="s">
        <v>25</v>
      </c>
      <c r="B40" s="100">
        <f>B18+B38</f>
        <v>37580</v>
      </c>
      <c r="C40" s="100">
        <f t="shared" ref="C40:G40" si="18">B40+C39</f>
        <v>41740</v>
      </c>
      <c r="D40" s="100">
        <f t="shared" si="18"/>
        <v>45675</v>
      </c>
      <c r="E40" s="100">
        <f t="shared" si="18"/>
        <v>48290</v>
      </c>
      <c r="F40" s="100">
        <f t="shared" si="18"/>
        <v>51445</v>
      </c>
      <c r="G40" s="100">
        <f t="shared" si="18"/>
        <v>52150</v>
      </c>
      <c r="H40" s="100"/>
      <c r="I40" s="104"/>
      <c r="J40" s="9" t="s">
        <v>24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ht="11.25" customHeight="1">
      <c r="A41" s="4"/>
      <c r="B41" s="4"/>
      <c r="C41" s="9"/>
      <c r="D41" s="9"/>
      <c r="E41" s="9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ht="11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ht="11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ht="11.25" customHeight="1">
      <c r="A44" s="4"/>
      <c r="B44" s="4"/>
      <c r="C44" s="4"/>
      <c r="D44" s="4"/>
      <c r="E44" s="4"/>
      <c r="F44" s="4"/>
      <c r="G44" s="9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ht="11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ht="11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ht="11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ht="11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ht="11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ht="11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ht="11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ht="11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ht="11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ht="11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ht="11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ht="11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ht="11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ht="11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ht="11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ht="11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ht="11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ht="11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ht="11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ht="11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ht="11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ht="11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ht="11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ht="11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ht="11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ht="11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ht="11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ht="11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ht="11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ht="11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ht="11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ht="11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ht="11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ht="11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ht="11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ht="11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ht="11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ht="11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ht="11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ht="11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ht="11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ht="11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ht="11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ht="11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ht="11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ht="11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ht="11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ht="11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ht="11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ht="11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ht="11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ht="11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ht="11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ht="11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ht="11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ht="11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ht="11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ht="11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ht="11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ht="11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ht="11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ht="11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ht="11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ht="11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ht="11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ht="11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ht="11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ht="11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ht="11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ht="11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ht="11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ht="11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ht="11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ht="11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ht="11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ht="11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ht="11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ht="11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ht="11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ht="11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ht="11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ht="11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ht="11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ht="11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ht="11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ht="11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ht="11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ht="11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ht="11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ht="11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ht="11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ht="11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ht="11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ht="11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ht="11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ht="11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ht="11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ht="11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ht="11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ht="11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ht="11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ht="11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ht="11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ht="11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ht="11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ht="11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ht="11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ht="11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ht="11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ht="11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ht="11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ht="11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ht="11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ht="11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ht="11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ht="11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ht="11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ht="11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ht="11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 ht="11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 ht="11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 ht="11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 ht="11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 ht="11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 ht="11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 ht="11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 ht="11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 ht="11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 ht="11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 ht="11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 ht="11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ht="11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 ht="11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ht="11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ht="11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ht="11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ht="11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ht="11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ht="11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ht="11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ht="11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ht="11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ht="11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ht="11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ht="11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ht="11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ht="11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ht="11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ht="11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ht="11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ht="11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ht="11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ht="11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ht="11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ht="11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ht="11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ht="11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ht="11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ht="11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ht="11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ht="11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ht="11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ht="11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ht="11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ht="11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ht="11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ht="11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ht="11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ht="11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ht="11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ht="11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ht="11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ht="11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ht="11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ht="11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ht="11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ht="11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ht="11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ht="11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ht="11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ht="11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ht="11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ht="11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ht="11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ht="11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ht="11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ht="11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ht="11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ht="11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ht="11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ht="11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ht="11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ht="11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ht="11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ht="11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ht="11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ht="11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ht="11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ht="11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ht="11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ht="11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ht="11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ht="11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ht="11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ht="11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ht="11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ht="11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ht="11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ht="11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ht="11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ht="11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ht="11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ht="11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ht="11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ht="11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ht="11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ht="11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ht="11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ht="11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ht="11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ht="11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ht="11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ht="11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ht="11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ht="11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ht="11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ht="11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ht="11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ht="11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ht="11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 ht="11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 ht="11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 ht="11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 ht="11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 ht="11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 ht="11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 ht="11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 ht="11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 ht="11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 ht="11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 ht="11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 ht="11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 ht="11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 ht="11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 ht="11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 ht="11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 ht="11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 ht="11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 ht="11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 ht="11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 ht="11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 ht="11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 ht="11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 ht="11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 ht="11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 ht="11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 ht="11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 ht="11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 ht="11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 ht="11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 ht="11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 ht="11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ht="11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ht="11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ht="11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ht="11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ht="11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ht="11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ht="11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ht="11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ht="11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ht="11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ht="11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ht="11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ht="11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ht="11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ht="11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ht="11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ht="11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ht="11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ht="11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ht="11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ht="11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ht="11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ht="11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ht="11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ht="11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ht="11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ht="11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ht="11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ht="11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ht="11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ht="11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ht="11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ht="11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ht="11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ht="11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ht="11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ht="11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ht="11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ht="11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ht="11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ht="11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ht="11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ht="11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ht="11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ht="11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ht="11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ht="11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ht="11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ht="11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ht="11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ht="11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ht="11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ht="11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ht="11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ht="11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ht="11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ht="11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ht="11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ht="11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ht="11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ht="11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ht="11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ht="11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ht="11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ht="11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ht="11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ht="11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ht="11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ht="11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ht="11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ht="11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ht="11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ht="11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ht="11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ht="11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ht="11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ht="11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ht="11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ht="11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ht="11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ht="11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ht="11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ht="11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ht="11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ht="11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ht="11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ht="11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ht="11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ht="11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ht="11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ht="11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ht="11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ht="11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ht="11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ht="11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ht="11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ht="11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ht="11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ht="11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ht="11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ht="11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ht="11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ht="11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ht="11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ht="11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ht="11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ht="11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ht="11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ht="11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ht="11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ht="11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ht="11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ht="11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ht="11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ht="11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ht="11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ht="11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ht="11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ht="11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ht="11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ht="11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ht="11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ht="11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ht="11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ht="11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ht="11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ht="11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ht="11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ht="11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ht="11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ht="11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ht="11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ht="11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ht="11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ht="11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ht="11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ht="11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ht="11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ht="11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ht="11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ht="11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ht="11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ht="11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ht="11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ht="11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ht="11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ht="11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ht="11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ht="11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ht="11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ht="11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ht="11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ht="11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ht="11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ht="11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ht="11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ht="11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ht="11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ht="11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ht="11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ht="11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ht="11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ht="11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ht="11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ht="11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ht="11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ht="11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ht="11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ht="11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ht="11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ht="11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ht="11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ht="11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ht="11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ht="11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ht="11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ht="11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ht="11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ht="11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ht="11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ht="11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ht="11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ht="11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ht="11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ht="11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ht="11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ht="11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ht="11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ht="11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ht="11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ht="11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ht="11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ht="11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ht="11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ht="11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ht="11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ht="11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ht="11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ht="11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ht="11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ht="11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ht="11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ht="11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ht="11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ht="11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ht="11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ht="11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ht="11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ht="11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ht="11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ht="11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ht="11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ht="11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ht="11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ht="11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ht="11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ht="11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ht="11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ht="11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ht="11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ht="11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ht="11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ht="11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ht="11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ht="11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ht="11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ht="11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ht="11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ht="11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ht="11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ht="11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ht="11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ht="11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ht="11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ht="11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ht="11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ht="11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ht="11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ht="11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ht="11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ht="11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ht="11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ht="11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ht="11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ht="11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ht="11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ht="11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ht="11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ht="11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ht="11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ht="11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ht="11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ht="11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ht="11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ht="11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ht="11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ht="11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ht="11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ht="11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ht="11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ht="11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ht="11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ht="11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ht="11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ht="11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ht="11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ht="11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ht="11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ht="11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ht="11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ht="11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ht="11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ht="11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ht="11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ht="11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ht="11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ht="11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ht="11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ht="11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ht="11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ht="11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ht="11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ht="11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ht="11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ht="11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ht="11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ht="11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ht="11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ht="11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ht="11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ht="11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ht="11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ht="11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ht="11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ht="11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ht="11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ht="11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ht="11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ht="11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ht="11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ht="11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ht="11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ht="11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ht="11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ht="11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ht="11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ht="11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ht="11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ht="11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ht="11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ht="11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ht="11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ht="11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ht="11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ht="11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ht="11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ht="11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ht="11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ht="11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ht="11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ht="11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ht="11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ht="11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ht="11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ht="11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ht="11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ht="11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ht="11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ht="11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ht="11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ht="11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ht="11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ht="11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ht="11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ht="11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ht="11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ht="11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ht="11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ht="11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ht="11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ht="11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ht="11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ht="11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ht="11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ht="11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ht="11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ht="11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ht="11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ht="11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ht="11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ht="11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ht="11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ht="11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ht="11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ht="11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ht="11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ht="11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ht="11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ht="11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ht="11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ht="11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ht="11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ht="11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ht="11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ht="11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ht="11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ht="11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ht="11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ht="11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ht="11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ht="11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ht="11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ht="11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ht="11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ht="11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ht="11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ht="11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ht="11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ht="11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ht="11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ht="11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ht="11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ht="11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ht="11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ht="11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ht="11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ht="11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ht="11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ht="11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ht="11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ht="11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ht="11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ht="11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ht="11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ht="11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ht="11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ht="11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ht="11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ht="11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ht="11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ht="11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ht="11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ht="11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ht="11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ht="11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ht="11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ht="11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ht="11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ht="11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ht="11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ht="11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ht="11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ht="11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ht="11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ht="11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ht="11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ht="11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ht="11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ht="11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ht="11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ht="11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ht="11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ht="11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ht="11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ht="11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ht="11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ht="11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ht="11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ht="11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ht="11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ht="11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ht="11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ht="11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ht="11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ht="11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ht="11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ht="11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ht="11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ht="11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ht="11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ht="11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ht="11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ht="11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ht="11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ht="11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ht="11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ht="11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ht="11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ht="11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ht="11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ht="11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ht="11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ht="11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ht="11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ht="11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ht="11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ht="11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ht="11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ht="11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ht="11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ht="11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ht="11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ht="11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ht="11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ht="11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ht="11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ht="11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ht="11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ht="11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ht="11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ht="11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ht="11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ht="11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ht="11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ht="11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ht="11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ht="11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ht="11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ht="11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ht="11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ht="11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ht="11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ht="11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ht="11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ht="11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ht="11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ht="11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ht="11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ht="11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ht="11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ht="11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ht="11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ht="11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ht="11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ht="11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ht="11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ht="11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ht="11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ht="11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ht="11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ht="11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ht="11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ht="11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ht="11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ht="11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ht="11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ht="11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ht="11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ht="11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ht="11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ht="11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ht="11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ht="11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ht="11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ht="11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ht="11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ht="11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ht="11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ht="11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ht="11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ht="11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ht="11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ht="11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ht="11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ht="11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ht="11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ht="11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ht="11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ht="11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ht="11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ht="11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ht="11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ht="11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ht="11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ht="11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ht="11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ht="11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ht="11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ht="11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ht="11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ht="11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ht="11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ht="11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ht="11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 ht="11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 ht="11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 ht="11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 ht="11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 ht="11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 ht="11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 ht="11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 ht="11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 ht="11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 ht="11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 ht="11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 ht="11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 ht="11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 ht="11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 ht="11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 ht="11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ht="11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ht="11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ht="11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ht="11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ht="11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ht="11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ht="11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ht="11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ht="11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ht="11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ht="11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ht="11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ht="11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ht="11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ht="11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ht="11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 ht="11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 ht="11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 ht="11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 ht="11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 ht="11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 ht="11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 ht="11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 ht="11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 ht="11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 ht="11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 ht="11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 ht="11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 ht="11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 ht="11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 ht="11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 ht="11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ht="11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ht="11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ht="11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ht="11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ht="11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ht="11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ht="11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ht="11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ht="11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ht="11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ht="11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ht="11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ht="11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ht="11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ht="11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ht="11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 ht="11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 ht="11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 ht="11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 ht="11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 ht="11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 ht="11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 ht="11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 ht="11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 ht="11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 ht="11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 ht="11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 ht="11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 ht="11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 ht="11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 ht="11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 ht="11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ht="11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ht="11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ht="11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ht="11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ht="11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ht="11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ht="11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ht="11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ht="11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ht="11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ht="11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ht="11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ht="11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ht="11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ht="11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ht="11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ht="11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ht="11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ht="11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ht="11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ht="11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ht="11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ht="11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ht="11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ht="11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ht="11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ht="11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ht="11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ht="11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ht="11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ht="11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ht="11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ht="11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ht="11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ht="11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ht="11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ht="11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ht="11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ht="11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ht="11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ht="11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ht="11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ht="11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ht="11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ht="11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ht="11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ht="11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ht="11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ht="11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ht="11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ht="11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ht="11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ht="11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ht="11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ht="11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ht="11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ht="11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ht="11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ht="11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ht="11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ht="11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ht="11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ht="11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ht="11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 ht="11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 ht="11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 ht="11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 ht="11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 ht="11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 ht="11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  <row r="1001" ht="11.2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</row>
    <row r="1002" ht="11.2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</row>
    <row r="1003" ht="11.2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</row>
    <row r="1004" ht="11.2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</row>
    <row r="1005" ht="11.25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</row>
    <row r="1006" ht="11.25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</row>
    <row r="1007" ht="11.25" customHeight="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</row>
    <row r="1008" ht="11.25" customHeight="1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</row>
    <row r="1009" ht="11.25" customHeight="1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</row>
    <row r="1010" ht="11.25" customHeight="1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</row>
    <row r="1011" ht="11.25" customHeight="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</row>
    <row r="1012" ht="11.25" customHeight="1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</row>
    <row r="1013" ht="11.25" customHeight="1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</row>
  </sheetData>
  <mergeCells count="5">
    <mergeCell ref="A1:I1"/>
    <mergeCell ref="A3:A4"/>
    <mergeCell ref="B3:G3"/>
    <mergeCell ref="H3:H4"/>
    <mergeCell ref="I3:I4"/>
  </mergeCells>
  <printOptions/>
  <pageMargins bottom="0.75" footer="0.0" header="0.0" left="0.7" right="0.7" top="0.75"/>
  <pageSetup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2.63" defaultRowHeight="15.0"/>
  <cols>
    <col customWidth="1" min="1" max="1" width="25.88"/>
    <col customWidth="1" min="2" max="2" width="16.25"/>
    <col customWidth="1" min="3" max="3" width="0.5"/>
    <col customWidth="1" min="4" max="4" width="21.63"/>
    <col customWidth="1" min="5" max="5" width="18.0"/>
    <col customWidth="1" min="6" max="26" width="9.38"/>
  </cols>
  <sheetData>
    <row r="1">
      <c r="A1" s="1" t="s">
        <v>72</v>
      </c>
      <c r="B1" s="2"/>
      <c r="C1" s="2"/>
      <c r="D1" s="2"/>
      <c r="E1" s="3"/>
    </row>
    <row r="2">
      <c r="A2" s="4"/>
      <c r="B2" s="4"/>
      <c r="C2" s="4"/>
      <c r="D2" s="4"/>
      <c r="E2" s="4"/>
    </row>
    <row r="3">
      <c r="A3" s="105" t="s">
        <v>73</v>
      </c>
      <c r="B3" s="106"/>
      <c r="C3" s="107"/>
      <c r="D3" s="105" t="s">
        <v>74</v>
      </c>
      <c r="E3" s="106"/>
    </row>
    <row r="4">
      <c r="A4" s="108" t="s">
        <v>39</v>
      </c>
      <c r="B4" s="109">
        <f>P.Financiero!G40</f>
        <v>52150</v>
      </c>
      <c r="C4" s="110"/>
      <c r="D4" s="111" t="s">
        <v>75</v>
      </c>
      <c r="E4" s="112"/>
    </row>
    <row r="5">
      <c r="A5" s="108" t="s">
        <v>76</v>
      </c>
      <c r="B5" s="113">
        <v>8000.0</v>
      </c>
      <c r="C5" s="110"/>
      <c r="D5" s="108" t="s">
        <v>77</v>
      </c>
      <c r="E5" s="114">
        <f>P.Financiero!I33</f>
        <v>1700</v>
      </c>
    </row>
    <row r="6">
      <c r="A6" s="108" t="s">
        <v>78</v>
      </c>
      <c r="B6" s="113">
        <f>sum('P.Económico'!B10:G11,'P.Económico'!E9:G9,-125*3)-10000-1500</f>
        <v>-14075</v>
      </c>
      <c r="C6" s="110"/>
      <c r="D6" s="108" t="s">
        <v>79</v>
      </c>
      <c r="E6" s="114">
        <f>-sum(P.Financiero!I26:I27)</f>
        <v>11800</v>
      </c>
    </row>
    <row r="7">
      <c r="A7" s="108"/>
      <c r="B7" s="113"/>
      <c r="C7" s="110"/>
      <c r="D7" s="108" t="s">
        <v>80</v>
      </c>
      <c r="E7" s="112">
        <f>-P.Financiero!I31</f>
        <v>500</v>
      </c>
    </row>
    <row r="8">
      <c r="A8" s="108" t="s">
        <v>81</v>
      </c>
      <c r="B8" s="113">
        <f>sum(P.Financiero!I13:I14)</f>
        <v>14800</v>
      </c>
      <c r="C8" s="115"/>
      <c r="D8" s="108" t="s">
        <v>82</v>
      </c>
      <c r="E8" s="114">
        <v>800.0</v>
      </c>
    </row>
    <row r="9">
      <c r="A9" s="108" t="s">
        <v>83</v>
      </c>
      <c r="B9" s="113">
        <f>120000</f>
        <v>120000</v>
      </c>
      <c r="C9" s="115"/>
      <c r="D9" s="116" t="s">
        <v>84</v>
      </c>
      <c r="E9" s="117">
        <f>-P.Financiero!I32</f>
        <v>1140</v>
      </c>
    </row>
    <row r="10">
      <c r="A10" s="108" t="s">
        <v>85</v>
      </c>
      <c r="B10" s="113">
        <f>15000/2</f>
        <v>7500</v>
      </c>
      <c r="C10" s="110"/>
      <c r="D10" s="111" t="s">
        <v>86</v>
      </c>
      <c r="E10" s="112"/>
    </row>
    <row r="11">
      <c r="A11" s="108" t="s">
        <v>87</v>
      </c>
      <c r="B11" s="113">
        <v>15000.0</v>
      </c>
      <c r="C11" s="110"/>
      <c r="D11" s="108" t="s">
        <v>88</v>
      </c>
      <c r="E11" s="114">
        <v>149600.0</v>
      </c>
    </row>
    <row r="12">
      <c r="A12" s="108" t="s">
        <v>89</v>
      </c>
      <c r="B12" s="109">
        <f>P.Financiero!I16</f>
        <v>1800</v>
      </c>
      <c r="C12" s="110"/>
      <c r="D12" s="108" t="s">
        <v>90</v>
      </c>
      <c r="E12" s="112">
        <f>'P.Económico'!H21</f>
        <v>36635</v>
      </c>
    </row>
    <row r="13">
      <c r="A13" s="118"/>
      <c r="B13" s="119"/>
      <c r="C13" s="110"/>
      <c r="D13" s="108" t="s">
        <v>91</v>
      </c>
      <c r="E13" s="114">
        <v>3000.0</v>
      </c>
    </row>
    <row r="14">
      <c r="A14" s="118"/>
      <c r="B14" s="119"/>
      <c r="C14" s="110"/>
      <c r="D14" s="120"/>
      <c r="E14" s="112"/>
    </row>
    <row r="15">
      <c r="A15" s="118"/>
      <c r="B15" s="119"/>
      <c r="C15" s="110"/>
      <c r="D15" s="118"/>
      <c r="E15" s="121"/>
    </row>
    <row r="16">
      <c r="A16" s="118"/>
      <c r="B16" s="119"/>
      <c r="C16" s="110"/>
      <c r="D16" s="118"/>
      <c r="E16" s="121"/>
    </row>
    <row r="17">
      <c r="A17" s="122" t="s">
        <v>92</v>
      </c>
      <c r="B17" s="123">
        <f>sum(B4:B16)</f>
        <v>205175</v>
      </c>
      <c r="C17" s="124"/>
      <c r="D17" s="122" t="s">
        <v>93</v>
      </c>
      <c r="E17" s="125">
        <f>sum(E5:E16)</f>
        <v>205175</v>
      </c>
      <c r="G17" s="56" t="s">
        <v>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E1"/>
    <mergeCell ref="A3:B3"/>
    <mergeCell ref="D3:E3"/>
  </mergeCells>
  <printOptions/>
  <pageMargins bottom="0.75" footer="0.0" header="0.0" left="0.7" right="0.7" top="0.75"/>
  <pageSetup orientation="landscape"/>
  <drawing r:id="rId1"/>
</worksheet>
</file>